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270" windowWidth="23250" windowHeight="11955" firstSheet="1" activeTab="1"/>
  </bookViews>
  <sheets>
    <sheet name="RiskSerializationData" sheetId="10" state="hidden" r:id="rId1"/>
    <sheet name="Beregning" sheetId="1" r:id="rId2"/>
    <sheet name="Månedsfordeling" sheetId="3" r:id="rId3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NewMatrix1">Beregning!#REF!</definedName>
    <definedName name="Pal_Workbook_GUID" hidden="1">"PIMDE2ZHKE42E9WGPR7BU9Y5"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P15" i="3" l="1"/>
  <c r="O15" i="3"/>
  <c r="M15" i="3"/>
  <c r="L15" i="3"/>
  <c r="K15" i="3"/>
  <c r="J15" i="3"/>
  <c r="I15" i="3"/>
  <c r="H15" i="3"/>
  <c r="G15" i="3"/>
  <c r="F15" i="3"/>
  <c r="E15" i="3"/>
  <c r="D15" i="3"/>
  <c r="C15" i="3"/>
  <c r="B15" i="3"/>
  <c r="P14" i="3"/>
  <c r="O14" i="3"/>
  <c r="M14" i="3"/>
  <c r="L14" i="3"/>
  <c r="K14" i="3"/>
  <c r="J14" i="3"/>
  <c r="I14" i="3"/>
  <c r="H14" i="3"/>
  <c r="G14" i="3"/>
  <c r="F14" i="3"/>
  <c r="E14" i="3"/>
  <c r="D14" i="3"/>
  <c r="C14" i="3"/>
  <c r="B14" i="3"/>
  <c r="P13" i="3"/>
  <c r="O13" i="3"/>
  <c r="M13" i="3"/>
  <c r="L13" i="3"/>
  <c r="K13" i="3"/>
  <c r="J13" i="3"/>
  <c r="I13" i="3"/>
  <c r="H13" i="3"/>
  <c r="G13" i="3"/>
  <c r="F13" i="3"/>
  <c r="E13" i="3"/>
  <c r="D13" i="3"/>
  <c r="C13" i="3"/>
  <c r="B13" i="3"/>
  <c r="N15" i="3" l="1"/>
  <c r="M35" i="1" s="1"/>
  <c r="E28" i="1" s="1"/>
  <c r="E33" i="1" s="1"/>
  <c r="N14" i="3"/>
  <c r="K35" i="1" s="1"/>
  <c r="E27" i="1" s="1"/>
  <c r="N13" i="3"/>
  <c r="J35" i="1" s="1"/>
  <c r="E26" i="1" s="1"/>
  <c r="P31" i="3"/>
  <c r="R16" i="3"/>
  <c r="Q20" i="3" s="1"/>
  <c r="N33" i="1"/>
  <c r="N36" i="1"/>
  <c r="N34" i="1"/>
  <c r="N32" i="1"/>
  <c r="N31" i="1"/>
  <c r="N30" i="1"/>
  <c r="N29" i="1"/>
  <c r="N28" i="1"/>
  <c r="N27" i="1"/>
  <c r="N25" i="1"/>
  <c r="N24" i="1"/>
  <c r="N23" i="1"/>
  <c r="N26" i="1"/>
  <c r="N37" i="1"/>
  <c r="B7" i="3"/>
  <c r="B6" i="3"/>
  <c r="B5" i="3"/>
  <c r="E11" i="1"/>
  <c r="A3" i="10"/>
  <c r="AN6" i="10"/>
  <c r="AN5" i="10"/>
  <c r="AN4" i="10"/>
  <c r="AN3" i="10"/>
  <c r="M27" i="3"/>
  <c r="L27" i="3"/>
  <c r="K27" i="3"/>
  <c r="J27" i="3"/>
  <c r="I27" i="3"/>
  <c r="H27" i="3"/>
  <c r="G27" i="3"/>
  <c r="F27" i="3"/>
  <c r="E27" i="3"/>
  <c r="D27" i="3"/>
  <c r="C27" i="3"/>
  <c r="M26" i="3"/>
  <c r="L26" i="3"/>
  <c r="K26" i="3"/>
  <c r="J26" i="3"/>
  <c r="I26" i="3"/>
  <c r="H26" i="3"/>
  <c r="G26" i="3"/>
  <c r="F26" i="3"/>
  <c r="E26" i="3"/>
  <c r="D26" i="3"/>
  <c r="C26" i="3"/>
  <c r="B27" i="3"/>
  <c r="B26" i="3"/>
  <c r="M25" i="3"/>
  <c r="L25" i="3"/>
  <c r="K25" i="3"/>
  <c r="J25" i="3"/>
  <c r="I25" i="3"/>
  <c r="H25" i="3"/>
  <c r="G25" i="3"/>
  <c r="F25" i="3"/>
  <c r="E25" i="3"/>
  <c r="D25" i="3"/>
  <c r="C25" i="3"/>
  <c r="B25" i="3"/>
  <c r="M24" i="3"/>
  <c r="L24" i="3"/>
  <c r="K24" i="3"/>
  <c r="J24" i="3"/>
  <c r="I24" i="3"/>
  <c r="H24" i="3"/>
  <c r="G24" i="3"/>
  <c r="F24" i="3"/>
  <c r="E24" i="3"/>
  <c r="D24" i="3"/>
  <c r="C24" i="3"/>
  <c r="B24" i="3"/>
  <c r="K19" i="1"/>
  <c r="M19" i="1"/>
  <c r="J19" i="1"/>
  <c r="E15" i="1"/>
  <c r="E31" i="1" s="1"/>
  <c r="N9" i="3"/>
  <c r="E16" i="1"/>
  <c r="N10" i="3"/>
  <c r="E17" i="1"/>
  <c r="N11" i="3"/>
  <c r="B11" i="3" s="1"/>
  <c r="C18" i="1"/>
  <c r="AG3" i="10"/>
  <c r="P16" i="3"/>
  <c r="O16" i="3"/>
  <c r="E29" i="1" l="1"/>
  <c r="G10" i="3"/>
  <c r="L9" i="3"/>
  <c r="D10" i="3"/>
  <c r="H11" i="3"/>
  <c r="E19" i="1"/>
  <c r="E38" i="1" s="1"/>
  <c r="E32" i="1"/>
  <c r="E34" i="1" s="1"/>
  <c r="A4" i="10" s="1"/>
  <c r="F10" i="3"/>
  <c r="M11" i="3"/>
  <c r="H10" i="3"/>
  <c r="F9" i="3"/>
  <c r="F11" i="3"/>
  <c r="C11" i="3"/>
  <c r="I11" i="3"/>
  <c r="B9" i="3"/>
  <c r="B17" i="3" s="1"/>
  <c r="C5" i="3" s="1"/>
  <c r="J9" i="3"/>
  <c r="E10" i="3"/>
  <c r="M10" i="3"/>
  <c r="J11" i="3"/>
  <c r="L11" i="3"/>
  <c r="E11" i="3"/>
  <c r="E9" i="3"/>
  <c r="M9" i="3"/>
  <c r="K10" i="3"/>
  <c r="C9" i="3"/>
  <c r="G9" i="3"/>
  <c r="D11" i="3"/>
  <c r="I9" i="3"/>
  <c r="K9" i="3"/>
  <c r="D9" i="3"/>
  <c r="H9" i="3"/>
  <c r="G11" i="3"/>
  <c r="K11" i="3"/>
  <c r="B19" i="3"/>
  <c r="C7" i="3" s="1"/>
  <c r="L10" i="3"/>
  <c r="J10" i="3"/>
  <c r="I10" i="3"/>
  <c r="C10" i="3"/>
  <c r="B10" i="3"/>
  <c r="B18" i="3" s="1"/>
  <c r="C6" i="3" s="1"/>
  <c r="N35" i="1"/>
  <c r="C17" i="3" l="1"/>
  <c r="D5" i="3" s="1"/>
  <c r="D17" i="3" s="1"/>
  <c r="D61" i="1" s="1"/>
  <c r="AG4" i="10"/>
  <c r="C19" i="3"/>
  <c r="D7" i="3" s="1"/>
  <c r="D19" i="3" s="1"/>
  <c r="E7" i="3" s="1"/>
  <c r="E19" i="3" s="1"/>
  <c r="F7" i="3" s="1"/>
  <c r="F19" i="3" s="1"/>
  <c r="G7" i="3" s="1"/>
  <c r="G19" i="3" s="1"/>
  <c r="E63" i="1" s="1"/>
  <c r="AG5" i="10"/>
  <c r="A5" i="10"/>
  <c r="B20" i="3"/>
  <c r="AG6" i="10" s="1"/>
  <c r="C18" i="3"/>
  <c r="E5" i="3"/>
  <c r="E17" i="3" s="1"/>
  <c r="A6" i="10" l="1"/>
  <c r="H7" i="3"/>
  <c r="H19" i="3" s="1"/>
  <c r="I7" i="3" s="1"/>
  <c r="I19" i="3" s="1"/>
  <c r="J7" i="3" s="1"/>
  <c r="J19" i="3" s="1"/>
  <c r="K7" i="3" s="1"/>
  <c r="K19" i="3" s="1"/>
  <c r="L7" i="3" s="1"/>
  <c r="L19" i="3" s="1"/>
  <c r="M7" i="3" s="1"/>
  <c r="M19" i="3" s="1"/>
  <c r="D63" i="1"/>
  <c r="D6" i="3"/>
  <c r="D18" i="3" s="1"/>
  <c r="C20" i="3"/>
  <c r="F63" i="1"/>
  <c r="F5" i="3"/>
  <c r="F17" i="3" s="1"/>
  <c r="D62" i="1" l="1"/>
  <c r="E6" i="3"/>
  <c r="E18" i="3" s="1"/>
  <c r="D20" i="3"/>
  <c r="D64" i="1" s="1"/>
  <c r="N19" i="3"/>
  <c r="P19" i="3" s="1"/>
  <c r="G63" i="1"/>
  <c r="Q15" i="3"/>
  <c r="G5" i="3"/>
  <c r="G17" i="3" s="1"/>
  <c r="F6" i="3" l="1"/>
  <c r="F18" i="3" s="1"/>
  <c r="E20" i="3"/>
  <c r="E61" i="1"/>
  <c r="H5" i="3"/>
  <c r="H17" i="3" s="1"/>
  <c r="G6" i="3" l="1"/>
  <c r="G18" i="3" s="1"/>
  <c r="F20" i="3"/>
  <c r="I5" i="3"/>
  <c r="I17" i="3" s="1"/>
  <c r="H6" i="3" l="1"/>
  <c r="H18" i="3" s="1"/>
  <c r="E62" i="1"/>
  <c r="G20" i="3"/>
  <c r="E64" i="1" s="1"/>
  <c r="J5" i="3"/>
  <c r="J17" i="3" s="1"/>
  <c r="I6" i="3" l="1"/>
  <c r="I18" i="3" s="1"/>
  <c r="H20" i="3"/>
  <c r="K5" i="3"/>
  <c r="K17" i="3" s="1"/>
  <c r="F61" i="1"/>
  <c r="J6" i="3" l="1"/>
  <c r="J18" i="3" s="1"/>
  <c r="I20" i="3"/>
  <c r="L5" i="3"/>
  <c r="L17" i="3" s="1"/>
  <c r="K6" i="3" l="1"/>
  <c r="K18" i="3" s="1"/>
  <c r="F62" i="1"/>
  <c r="J20" i="3"/>
  <c r="F64" i="1" s="1"/>
  <c r="M5" i="3"/>
  <c r="M17" i="3" s="1"/>
  <c r="L6" i="3" l="1"/>
  <c r="L18" i="3" s="1"/>
  <c r="K20" i="3"/>
  <c r="Q13" i="3"/>
  <c r="N17" i="3"/>
  <c r="G61" i="1"/>
  <c r="M6" i="3" l="1"/>
  <c r="M18" i="3" s="1"/>
  <c r="L20" i="3"/>
  <c r="P17" i="3"/>
  <c r="Q14" i="3" l="1"/>
  <c r="Q16" i="3" s="1"/>
  <c r="N18" i="3"/>
  <c r="G62" i="1"/>
  <c r="M20" i="3"/>
  <c r="G64" i="1" s="1"/>
  <c r="P18" i="3" l="1"/>
  <c r="N20" i="3"/>
  <c r="P20" i="3" s="1"/>
</calcChain>
</file>

<file path=xl/comments1.xml><?xml version="1.0" encoding="utf-8"?>
<comments xmlns="http://schemas.openxmlformats.org/spreadsheetml/2006/main">
  <authors>
    <author>Ove Lund</author>
  </authors>
  <commentList>
    <comment ref="S15" authorId="0">
      <text>
        <r>
          <rPr>
            <b/>
            <sz val="9"/>
            <color indexed="81"/>
            <rFont val="Tahoma"/>
            <family val="2"/>
          </rPr>
          <t>Ove Lund:</t>
        </r>
        <r>
          <rPr>
            <sz val="9"/>
            <color indexed="81"/>
            <rFont val="Tahoma"/>
            <family val="2"/>
          </rPr>
          <t xml:space="preserve">
FEN på lager 31.12 pr. produceret EKM det kommende år</t>
        </r>
      </text>
    </comment>
  </commentList>
</comments>
</file>

<file path=xl/sharedStrings.xml><?xml version="1.0" encoding="utf-8"?>
<sst xmlns="http://schemas.openxmlformats.org/spreadsheetml/2006/main" count="156" uniqueCount="80">
  <si>
    <t>Risikovurdering</t>
  </si>
  <si>
    <t>Ha</t>
  </si>
  <si>
    <t>Majshelsæd</t>
  </si>
  <si>
    <t>Slætgræs</t>
  </si>
  <si>
    <t>Udbytte (FEN pr. ha)</t>
  </si>
  <si>
    <t>Græshelsæd</t>
  </si>
  <si>
    <t>1.000 FEN</t>
  </si>
  <si>
    <t>Helsædskorn</t>
  </si>
  <si>
    <t>Grovfoderbeholdning ultimo:</t>
  </si>
  <si>
    <t>Antal malkekøer</t>
  </si>
  <si>
    <t>&gt;75%</t>
  </si>
  <si>
    <t>&lt;25%</t>
  </si>
  <si>
    <t>&gt;90%</t>
  </si>
  <si>
    <t>0,95</t>
  </si>
  <si>
    <t>Antal årsopdræt</t>
  </si>
  <si>
    <t>Udbytte i alt</t>
  </si>
  <si>
    <t>Beholdning i alt</t>
  </si>
  <si>
    <t>Grovfoderbehov i alt</t>
  </si>
  <si>
    <t>I alt</t>
  </si>
  <si>
    <t>Indsæt værdier i de gule felter!</t>
  </si>
  <si>
    <t>Markareal til rådighed</t>
  </si>
  <si>
    <t>Markareal til andre afgrøder</t>
  </si>
  <si>
    <t>Grovfoderbehov de kommende 12 måneder:</t>
  </si>
  <si>
    <t>Udbytte ved næste års høst:</t>
  </si>
  <si>
    <t>Majsensilage</t>
  </si>
  <si>
    <t>Slætgræs til frisk foder</t>
  </si>
  <si>
    <t>Slætgræsensilage</t>
  </si>
  <si>
    <t>Nov</t>
  </si>
  <si>
    <t>Dec</t>
  </si>
  <si>
    <t>Jan</t>
  </si>
  <si>
    <t>Feb</t>
  </si>
  <si>
    <t>Mar</t>
  </si>
  <si>
    <t>Apr</t>
  </si>
  <si>
    <t>Maj</t>
  </si>
  <si>
    <t>Jun</t>
  </si>
  <si>
    <t>Aug</t>
  </si>
  <si>
    <t>Sept</t>
  </si>
  <si>
    <t>Okt</t>
  </si>
  <si>
    <t>Opfodring:</t>
  </si>
  <si>
    <t>Heldædensilage</t>
  </si>
  <si>
    <t>Helsædsensilage</t>
  </si>
  <si>
    <t>Høst:</t>
  </si>
  <si>
    <t>Fodringstidspunkt:</t>
  </si>
  <si>
    <t>Slætgræs (både frisk og ensilage)</t>
  </si>
  <si>
    <t>Jul</t>
  </si>
  <si>
    <t>Fordeling af høst (%):</t>
  </si>
  <si>
    <t>Beholdning primo:</t>
  </si>
  <si>
    <t>Græsensilage</t>
  </si>
  <si>
    <t>Beholdning ultimo:</t>
  </si>
  <si>
    <t>Ult. jan</t>
  </si>
  <si>
    <t>Ult. apr</t>
  </si>
  <si>
    <t>Ult. juli</t>
  </si>
  <si>
    <t>Ult. okt</t>
  </si>
  <si>
    <t>Risikovurdering beholdninger ultimo hvert kvartal</t>
  </si>
  <si>
    <t>Grovfoderbeholdning efter høst (1. november):</t>
  </si>
  <si>
    <t>Beholdning ult. dec.</t>
  </si>
  <si>
    <t>Forbrug år +1</t>
  </si>
  <si>
    <t>Anbefaling 0,4 FEN pr. EKM (1.000)</t>
  </si>
  <si>
    <t>Måned</t>
  </si>
  <si>
    <t>Græs-ensilage</t>
  </si>
  <si>
    <t>Helsæds-korn</t>
  </si>
  <si>
    <t>Sep</t>
  </si>
  <si>
    <t>Frisk slætgræs til staldfodring</t>
  </si>
  <si>
    <t>Grovfoderbeholdning ultimo oktober i alt</t>
  </si>
  <si>
    <t>Grovfoderbeh. ult. oktober i alt (elskl. forbrugsusikkerhed)</t>
  </si>
  <si>
    <t>GF1_rK0qDwEADgAxAQwjACYAXQCXAKsArAC6AMgACwEtAScBKgD//wAAAAAAAQQAAAAAKV8gKiAjLCMjMF8gO18gKiAtIywjIzBfIDtfICogIi0iPz9fIDtfIEBfAAAAATRHcm92Zm9kZXJiZWhvbGRuaW5nIHVsdGltbyBva3RvYmVyIGkgYWx0IC8gMS4wMDAgRkVOAQABARAAAgABClN0YXRpc3RpY3MDAQEA/wEBAQEBAAEBAQAEAAAAAQEBAQEAAQEBAAQAAAABzAACOwA0R3JvdmZvZGVyYmVob2xkbmluZyB1bHRpbW8gb2t0b2JlciBpIGFsdCAvIDEuMDAwIEZFTgAALwECAAIAEwEdAQEBAgGamZmZmZmpPwAAZmZmZmZm7j8AAAUAAQEBAAEBAQA=</t>
  </si>
  <si>
    <t>Mælkeproduktion (kg EKM pr. ko)</t>
  </si>
  <si>
    <r>
      <t>Anbefal.</t>
    </r>
    <r>
      <rPr>
        <b/>
        <sz val="14"/>
        <color theme="1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</si>
  <si>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Anbefales ud fra "tommelfingerregel" om 0,4 FEN i beholdning pr. 31.12 pr. kg EKM produceret det kommende år.</t>
    </r>
  </si>
  <si>
    <t>GF1_rK0qDwEADgABAQwjACYAXQB/AJMAlACiALAA2wD9APcAKgD//wAAAAAAAQQAAAAAKV8gKiAjLCMjMF8gO18gKiAtIywjIzBfIDtfICogIi0iPz9fIDtfIEBfAAAAARxCZWhvbGRuaW5nIGkgYWx0IC8gMS4wMDAgRkVOAQABARAAAgABClN0YXRpc3RpY3MDAQEA/wEBAQEBAAEBAQAEAAAAAQEBAQEAAQEBAAQAAAABtAACIwAcQmVob2xkbmluZyBpIGFsdCAvIDEuMDAwIEZFTgAALwECAAIA4wDtAAEBAgGamZmZmZmpPwAAZmZmZmZm7j8AAAUAAQEBAAEBAQA=</t>
  </si>
  <si>
    <t>GF1_rK0qDwEADgDPAAwjACYAXQBmAHoAewCJAJcAqQDLAMUAKgD//wAAAAAAAQQAAAAAKV8gKiAjLCMjMF8gO18gKiAtIywjIzBfIDtfICogIi0iPz9fIDtfIEBfAAAAAQNOb3YBAAEBEAACAAEKU3RhdGlzdGljcwMBAQD/AQEBAQEAAQEBAAQAAAABAQEBAQABAQEABAAAAAGbAAIKAANOb3YAAC8BAgACALEAuwABAQIBmpmZmZmZqT8AAGZmZmZmZu4/AAAFAAEBAQABAQEA</t>
  </si>
  <si>
    <r>
      <t>Fordeling af høst (</t>
    </r>
    <r>
      <rPr>
        <b/>
        <sz val="12"/>
        <color rgb="FFFF0000"/>
        <rFont val="Calibri"/>
        <family val="2"/>
        <scheme val="minor"/>
      </rPr>
      <t>klar til opfodring</t>
    </r>
    <r>
      <rPr>
        <b/>
        <sz val="12"/>
        <color theme="1"/>
        <rFont val="Calibri"/>
        <family val="2"/>
        <scheme val="minor"/>
      </rPr>
      <t>) (%)</t>
    </r>
  </si>
  <si>
    <t>anbefalet beh.</t>
  </si>
  <si>
    <r>
      <t xml:space="preserve">(forudsætter </t>
    </r>
    <r>
      <rPr>
        <b/>
        <sz val="14"/>
        <color theme="1"/>
        <rFont val="Arial"/>
        <family val="2"/>
      </rPr>
      <t>IKKE</t>
    </r>
    <r>
      <rPr>
        <sz val="14"/>
        <color theme="1"/>
        <rFont val="Arial"/>
        <family val="2"/>
      </rPr>
      <t xml:space="preserve"> brug af @Risk)</t>
    </r>
  </si>
  <si>
    <t>Afgræsning</t>
  </si>
  <si>
    <t>FEN i alt (1.000)</t>
  </si>
  <si>
    <t>TF-regel</t>
  </si>
  <si>
    <t>Fordeling af forbrug (FEN pr. dyr pr. dag)**</t>
  </si>
  <si>
    <r>
      <rPr>
        <sz val="14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Omfatter både malkekøer og årsopdræt</t>
    </r>
  </si>
  <si>
    <t>I alt (1.000 FEN)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</si>
</sst>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FF000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Border="0" applyAlignment="0"/>
  </cellStyleXfs>
  <cellXfs count="187">
    <xf numFmtId="0" fontId="0" fillId="0" borderId="0" xfId="0"/>
    <xf numFmtId="164" fontId="0" fillId="0" borderId="0" xfId="0" applyNumberFormat="1"/>
    <xf numFmtId="3" fontId="0" fillId="0" borderId="0" xfId="0" applyNumberFormat="1"/>
    <xf numFmtId="0" fontId="2" fillId="0" borderId="0" xfId="0" applyFont="1"/>
    <xf numFmtId="164" fontId="0" fillId="0" borderId="6" xfId="1" applyNumberFormat="1" applyFont="1" applyBorder="1"/>
    <xf numFmtId="164" fontId="0" fillId="3" borderId="8" xfId="1" applyNumberFormat="1" applyFont="1" applyFill="1" applyBorder="1"/>
    <xf numFmtId="164" fontId="0" fillId="3" borderId="7" xfId="1" applyNumberFormat="1" applyFont="1" applyFill="1" applyBorder="1"/>
    <xf numFmtId="0" fontId="0" fillId="5" borderId="8" xfId="0" applyFont="1" applyFill="1" applyBorder="1"/>
    <xf numFmtId="0" fontId="0" fillId="5" borderId="9" xfId="0" applyFont="1" applyFill="1" applyBorder="1"/>
    <xf numFmtId="164" fontId="0" fillId="4" borderId="7" xfId="1" applyNumberFormat="1" applyFont="1" applyFill="1" applyBorder="1"/>
    <xf numFmtId="164" fontId="0" fillId="4" borderId="2" xfId="1" applyNumberFormat="1" applyFont="1" applyFill="1" applyBorder="1"/>
    <xf numFmtId="164" fontId="0" fillId="5" borderId="7" xfId="1" applyNumberFormat="1" applyFont="1" applyFill="1" applyBorder="1"/>
    <xf numFmtId="164" fontId="0" fillId="5" borderId="2" xfId="1" applyNumberFormat="1" applyFont="1" applyFill="1" applyBorder="1"/>
    <xf numFmtId="164" fontId="0" fillId="4" borderId="9" xfId="1" applyNumberFormat="1" applyFont="1" applyFill="1" applyBorder="1"/>
    <xf numFmtId="164" fontId="2" fillId="4" borderId="8" xfId="1" applyNumberFormat="1" applyFont="1" applyFill="1" applyBorder="1"/>
    <xf numFmtId="164" fontId="0" fillId="5" borderId="10" xfId="1" applyNumberFormat="1" applyFont="1" applyFill="1" applyBorder="1"/>
    <xf numFmtId="164" fontId="0" fillId="5" borderId="6" xfId="1" applyNumberFormat="1" applyFont="1" applyFill="1" applyBorder="1"/>
    <xf numFmtId="164" fontId="0" fillId="0" borderId="10" xfId="1" applyNumberFormat="1" applyFont="1" applyBorder="1"/>
    <xf numFmtId="0" fontId="4" fillId="6" borderId="0" xfId="0" applyFont="1" applyFill="1"/>
    <xf numFmtId="0" fontId="0" fillId="6" borderId="0" xfId="0" applyFill="1"/>
    <xf numFmtId="0" fontId="5" fillId="6" borderId="0" xfId="0" quotePrefix="1" applyFont="1" applyFill="1"/>
    <xf numFmtId="0" fontId="0" fillId="6" borderId="0" xfId="0" applyFill="1" applyAlignment="1">
      <alignment horizontal="center"/>
    </xf>
    <xf numFmtId="0" fontId="3" fillId="6" borderId="0" xfId="0" applyFont="1" applyFill="1"/>
    <xf numFmtId="0" fontId="2" fillId="6" borderId="0" xfId="0" applyFont="1" applyFill="1"/>
    <xf numFmtId="0" fontId="0" fillId="6" borderId="0" xfId="0" applyFill="1" applyAlignment="1">
      <alignment vertical="top" wrapText="1"/>
    </xf>
    <xf numFmtId="0" fontId="9" fillId="6" borderId="0" xfId="0" applyFont="1" applyFill="1"/>
    <xf numFmtId="164" fontId="0" fillId="0" borderId="14" xfId="1" applyNumberFormat="1" applyFont="1" applyBorder="1"/>
    <xf numFmtId="164" fontId="0" fillId="5" borderId="14" xfId="1" applyNumberFormat="1" applyFont="1" applyFill="1" applyBorder="1"/>
    <xf numFmtId="164" fontId="0" fillId="4" borderId="14" xfId="1" applyNumberFormat="1" applyFont="1" applyFill="1" applyBorder="1"/>
    <xf numFmtId="164" fontId="0" fillId="3" borderId="15" xfId="1" applyNumberFormat="1" applyFont="1" applyFill="1" applyBorder="1"/>
    <xf numFmtId="9" fontId="0" fillId="0" borderId="1" xfId="2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0" borderId="16" xfId="1" applyNumberFormat="1" applyFont="1" applyBorder="1"/>
    <xf numFmtId="0" fontId="2" fillId="0" borderId="16" xfId="0" applyFont="1" applyBorder="1" applyAlignment="1">
      <alignment horizontal="center"/>
    </xf>
    <xf numFmtId="9" fontId="0" fillId="0" borderId="3" xfId="2" applyFont="1" applyBorder="1"/>
    <xf numFmtId="0" fontId="2" fillId="0" borderId="1" xfId="0" applyFont="1" applyBorder="1"/>
    <xf numFmtId="0" fontId="0" fillId="0" borderId="1" xfId="0" applyBorder="1"/>
    <xf numFmtId="0" fontId="2" fillId="0" borderId="3" xfId="0" applyFont="1" applyBorder="1"/>
    <xf numFmtId="0" fontId="0" fillId="0" borderId="16" xfId="0" applyBorder="1"/>
    <xf numFmtId="0" fontId="0" fillId="0" borderId="3" xfId="0" applyBorder="1"/>
    <xf numFmtId="164" fontId="2" fillId="0" borderId="1" xfId="1" applyNumberFormat="1" applyFont="1" applyBorder="1"/>
    <xf numFmtId="164" fontId="10" fillId="5" borderId="20" xfId="1" applyNumberFormat="1" applyFont="1" applyFill="1" applyBorder="1"/>
    <xf numFmtId="0" fontId="10" fillId="5" borderId="22" xfId="0" applyFont="1" applyFill="1" applyBorder="1"/>
    <xf numFmtId="164" fontId="10" fillId="5" borderId="1" xfId="1" applyNumberFormat="1" applyFont="1" applyFill="1" applyBorder="1"/>
    <xf numFmtId="164" fontId="10" fillId="5" borderId="19" xfId="1" applyNumberFormat="1" applyFont="1" applyFill="1" applyBorder="1"/>
    <xf numFmtId="164" fontId="10" fillId="5" borderId="21" xfId="1" applyNumberFormat="1" applyFont="1" applyFill="1" applyBorder="1"/>
    <xf numFmtId="164" fontId="0" fillId="0" borderId="17" xfId="0" applyNumberFormat="1" applyBorder="1"/>
    <xf numFmtId="164" fontId="0" fillId="0" borderId="17" xfId="1" applyNumberFormat="1" applyFont="1" applyBorder="1"/>
    <xf numFmtId="0" fontId="14" fillId="0" borderId="0" xfId="0" applyFont="1"/>
    <xf numFmtId="0" fontId="2" fillId="0" borderId="16" xfId="0" applyFont="1" applyFill="1" applyBorder="1" applyAlignment="1">
      <alignment horizontal="center"/>
    </xf>
    <xf numFmtId="164" fontId="0" fillId="0" borderId="3" xfId="0" applyNumberFormat="1" applyBorder="1"/>
    <xf numFmtId="9" fontId="0" fillId="3" borderId="1" xfId="2" applyFont="1" applyFill="1" applyBorder="1"/>
    <xf numFmtId="9" fontId="0" fillId="3" borderId="16" xfId="2" applyFont="1" applyFill="1" applyBorder="1"/>
    <xf numFmtId="0" fontId="12" fillId="2" borderId="24" xfId="0" applyFont="1" applyFill="1" applyBorder="1" applyAlignment="1">
      <alignment horizontal="left"/>
    </xf>
    <xf numFmtId="9" fontId="0" fillId="3" borderId="26" xfId="2" applyFont="1" applyFill="1" applyBorder="1"/>
    <xf numFmtId="9" fontId="0" fillId="3" borderId="27" xfId="2" applyFont="1" applyFill="1" applyBorder="1"/>
    <xf numFmtId="0" fontId="11" fillId="5" borderId="32" xfId="0" applyFont="1" applyFill="1" applyBorder="1"/>
    <xf numFmtId="0" fontId="10" fillId="5" borderId="33" xfId="0" applyFont="1" applyFill="1" applyBorder="1"/>
    <xf numFmtId="0" fontId="10" fillId="5" borderId="34" xfId="0" applyFont="1" applyFill="1" applyBorder="1"/>
    <xf numFmtId="0" fontId="10" fillId="5" borderId="30" xfId="0" applyFont="1" applyFill="1" applyBorder="1"/>
    <xf numFmtId="164" fontId="0" fillId="5" borderId="12" xfId="1" applyNumberFormat="1" applyFont="1" applyFill="1" applyBorder="1"/>
    <xf numFmtId="164" fontId="0" fillId="5" borderId="13" xfId="1" applyNumberFormat="1" applyFont="1" applyFill="1" applyBorder="1"/>
    <xf numFmtId="164" fontId="0" fillId="7" borderId="11" xfId="1" applyNumberFormat="1" applyFont="1" applyFill="1" applyBorder="1"/>
    <xf numFmtId="164" fontId="0" fillId="7" borderId="38" xfId="1" applyNumberFormat="1" applyFont="1" applyFill="1" applyBorder="1"/>
    <xf numFmtId="0" fontId="16" fillId="6" borderId="0" xfId="0" applyFont="1" applyFill="1"/>
    <xf numFmtId="164" fontId="2" fillId="0" borderId="3" xfId="1" applyNumberFormat="1" applyFont="1" applyBorder="1" applyAlignment="1">
      <alignment horizontal="center"/>
    </xf>
    <xf numFmtId="164" fontId="0" fillId="0" borderId="1" xfId="0" applyNumberFormat="1" applyBorder="1"/>
    <xf numFmtId="164" fontId="2" fillId="0" borderId="1" xfId="0" applyNumberFormat="1" applyFont="1" applyBorder="1"/>
    <xf numFmtId="0" fontId="12" fillId="2" borderId="28" xfId="0" applyFont="1" applyFill="1" applyBorder="1"/>
    <xf numFmtId="9" fontId="2" fillId="2" borderId="29" xfId="2" applyFont="1" applyFill="1" applyBorder="1"/>
    <xf numFmtId="9" fontId="2" fillId="2" borderId="31" xfId="2" applyFont="1" applyFill="1" applyBorder="1"/>
    <xf numFmtId="0" fontId="12" fillId="2" borderId="39" xfId="0" applyFont="1" applyFill="1" applyBorder="1"/>
    <xf numFmtId="0" fontId="12" fillId="2" borderId="40" xfId="0" applyFont="1" applyFill="1" applyBorder="1"/>
    <xf numFmtId="0" fontId="12" fillId="2" borderId="41" xfId="0" applyFont="1" applyFill="1" applyBorder="1"/>
    <xf numFmtId="9" fontId="0" fillId="3" borderId="19" xfId="2" applyFont="1" applyFill="1" applyBorder="1"/>
    <xf numFmtId="9" fontId="0" fillId="3" borderId="20" xfId="2" applyFont="1" applyFill="1" applyBorder="1"/>
    <xf numFmtId="9" fontId="0" fillId="3" borderId="21" xfId="2" applyFont="1" applyFill="1" applyBorder="1"/>
    <xf numFmtId="9" fontId="0" fillId="3" borderId="42" xfId="2" applyFont="1" applyFill="1" applyBorder="1"/>
    <xf numFmtId="9" fontId="0" fillId="3" borderId="43" xfId="2" applyFont="1" applyFill="1" applyBorder="1"/>
    <xf numFmtId="0" fontId="13" fillId="2" borderId="18" xfId="0" applyFont="1" applyFill="1" applyBorder="1" applyAlignment="1">
      <alignment horizontal="center" wrapText="1"/>
    </xf>
    <xf numFmtId="0" fontId="13" fillId="2" borderId="25" xfId="0" applyFont="1" applyFill="1" applyBorder="1" applyAlignment="1">
      <alignment horizontal="center" wrapText="1"/>
    </xf>
    <xf numFmtId="0" fontId="13" fillId="2" borderId="46" xfId="0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 wrapText="1"/>
    </xf>
    <xf numFmtId="0" fontId="0" fillId="6" borderId="0" xfId="0" applyFont="1" applyFill="1"/>
    <xf numFmtId="0" fontId="3" fillId="3" borderId="50" xfId="0" applyFont="1" applyFill="1" applyBorder="1"/>
    <xf numFmtId="0" fontId="2" fillId="2" borderId="5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0" fillId="7" borderId="54" xfId="0" applyFont="1" applyFill="1" applyBorder="1"/>
    <xf numFmtId="0" fontId="8" fillId="5" borderId="54" xfId="0" applyFont="1" applyFill="1" applyBorder="1"/>
    <xf numFmtId="0" fontId="0" fillId="0" borderId="47" xfId="0" applyFont="1" applyBorder="1"/>
    <xf numFmtId="0" fontId="0" fillId="4" borderId="55" xfId="0" applyFont="1" applyFill="1" applyBorder="1"/>
    <xf numFmtId="0" fontId="0" fillId="5" borderId="55" xfId="0" applyFont="1" applyFill="1" applyBorder="1"/>
    <xf numFmtId="0" fontId="2" fillId="5" borderId="41" xfId="0" applyFont="1" applyFill="1" applyBorder="1"/>
    <xf numFmtId="0" fontId="0" fillId="7" borderId="57" xfId="0" applyFont="1" applyFill="1" applyBorder="1"/>
    <xf numFmtId="0" fontId="8" fillId="5" borderId="58" xfId="0" applyFont="1" applyFill="1" applyBorder="1"/>
    <xf numFmtId="0" fontId="7" fillId="4" borderId="55" xfId="0" applyFont="1" applyFill="1" applyBorder="1"/>
    <xf numFmtId="0" fontId="0" fillId="0" borderId="39" xfId="0" applyFont="1" applyBorder="1"/>
    <xf numFmtId="164" fontId="10" fillId="5" borderId="43" xfId="1" applyNumberFormat="1" applyFont="1" applyFill="1" applyBorder="1"/>
    <xf numFmtId="164" fontId="10" fillId="5" borderId="26" xfId="1" applyNumberFormat="1" applyFont="1" applyFill="1" applyBorder="1"/>
    <xf numFmtId="0" fontId="11" fillId="5" borderId="64" xfId="0" applyFont="1" applyFill="1" applyBorder="1"/>
    <xf numFmtId="0" fontId="11" fillId="5" borderId="65" xfId="0" applyFont="1" applyFill="1" applyBorder="1"/>
    <xf numFmtId="0" fontId="11" fillId="5" borderId="66" xfId="0" applyFont="1" applyFill="1" applyBorder="1"/>
    <xf numFmtId="164" fontId="10" fillId="5" borderId="67" xfId="1" applyNumberFormat="1" applyFont="1" applyFill="1" applyBorder="1"/>
    <xf numFmtId="164" fontId="10" fillId="5" borderId="68" xfId="1" applyNumberFormat="1" applyFont="1" applyFill="1" applyBorder="1"/>
    <xf numFmtId="164" fontId="10" fillId="5" borderId="56" xfId="1" applyNumberFormat="1" applyFont="1" applyFill="1" applyBorder="1"/>
    <xf numFmtId="164" fontId="0" fillId="8" borderId="61" xfId="1" applyNumberFormat="1" applyFont="1" applyFill="1" applyBorder="1"/>
    <xf numFmtId="164" fontId="0" fillId="8" borderId="62" xfId="1" applyNumberFormat="1" applyFont="1" applyFill="1" applyBorder="1"/>
    <xf numFmtId="164" fontId="0" fillId="8" borderId="63" xfId="1" applyNumberFormat="1" applyFont="1" applyFill="1" applyBorder="1"/>
    <xf numFmtId="164" fontId="2" fillId="8" borderId="53" xfId="0" applyNumberFormat="1" applyFont="1" applyFill="1" applyBorder="1"/>
    <xf numFmtId="0" fontId="2" fillId="2" borderId="69" xfId="0" applyFont="1" applyFill="1" applyBorder="1" applyAlignment="1">
      <alignment horizontal="center" wrapText="1"/>
    </xf>
    <xf numFmtId="164" fontId="0" fillId="3" borderId="70" xfId="1" applyNumberFormat="1" applyFont="1" applyFill="1" applyBorder="1"/>
    <xf numFmtId="164" fontId="0" fillId="3" borderId="71" xfId="1" applyNumberFormat="1" applyFont="1" applyFill="1" applyBorder="1"/>
    <xf numFmtId="164" fontId="2" fillId="8" borderId="72" xfId="1" applyNumberFormat="1" applyFont="1" applyFill="1" applyBorder="1"/>
    <xf numFmtId="164" fontId="0" fillId="7" borderId="25" xfId="1" applyNumberFormat="1" applyFont="1" applyFill="1" applyBorder="1"/>
    <xf numFmtId="164" fontId="0" fillId="5" borderId="59" xfId="1" applyNumberFormat="1" applyFont="1" applyFill="1" applyBorder="1"/>
    <xf numFmtId="164" fontId="0" fillId="4" borderId="56" xfId="1" applyNumberFormat="1" applyFont="1" applyFill="1" applyBorder="1"/>
    <xf numFmtId="164" fontId="0" fillId="0" borderId="71" xfId="1" applyNumberFormat="1" applyFont="1" applyBorder="1"/>
    <xf numFmtId="164" fontId="0" fillId="4" borderId="71" xfId="1" applyNumberFormat="1" applyFont="1" applyFill="1" applyBorder="1"/>
    <xf numFmtId="164" fontId="0" fillId="5" borderId="73" xfId="1" applyNumberFormat="1" applyFont="1" applyFill="1" applyBorder="1"/>
    <xf numFmtId="164" fontId="0" fillId="4" borderId="59" xfId="1" applyNumberFormat="1" applyFont="1" applyFill="1" applyBorder="1"/>
    <xf numFmtId="164" fontId="0" fillId="0" borderId="56" xfId="1" applyNumberFormat="1" applyFont="1" applyBorder="1"/>
    <xf numFmtId="164" fontId="10" fillId="4" borderId="56" xfId="1" applyNumberFormat="1" applyFont="1" applyFill="1" applyBorder="1"/>
    <xf numFmtId="0" fontId="0" fillId="0" borderId="41" xfId="0" applyFont="1" applyBorder="1"/>
    <xf numFmtId="0" fontId="10" fillId="5" borderId="74" xfId="0" applyFont="1" applyFill="1" applyBorder="1"/>
    <xf numFmtId="164" fontId="11" fillId="8" borderId="35" xfId="1" applyNumberFormat="1" applyFont="1" applyFill="1" applyBorder="1"/>
    <xf numFmtId="164" fontId="11" fillId="8" borderId="36" xfId="1" applyNumberFormat="1" applyFont="1" applyFill="1" applyBorder="1"/>
    <xf numFmtId="164" fontId="11" fillId="8" borderId="37" xfId="1" applyNumberFormat="1" applyFont="1" applyFill="1" applyBorder="1"/>
    <xf numFmtId="0" fontId="12" fillId="2" borderId="60" xfId="0" applyFont="1" applyFill="1" applyBorder="1"/>
    <xf numFmtId="0" fontId="14" fillId="0" borderId="68" xfId="0" applyFont="1" applyBorder="1" applyAlignment="1">
      <alignment horizontal="center"/>
    </xf>
    <xf numFmtId="164" fontId="0" fillId="0" borderId="16" xfId="0" applyNumberFormat="1" applyBorder="1"/>
    <xf numFmtId="0" fontId="13" fillId="2" borderId="50" xfId="0" applyFont="1" applyFill="1" applyBorder="1" applyAlignment="1">
      <alignment horizontal="center" wrapText="1"/>
    </xf>
    <xf numFmtId="0" fontId="0" fillId="0" borderId="6" xfId="0" applyBorder="1"/>
    <xf numFmtId="0" fontId="2" fillId="3" borderId="5" xfId="0" applyFont="1" applyFill="1" applyBorder="1" applyAlignment="1">
      <alignment horizontal="center"/>
    </xf>
    <xf numFmtId="0" fontId="2" fillId="3" borderId="89" xfId="0" applyFont="1" applyFill="1" applyBorder="1"/>
    <xf numFmtId="164" fontId="1" fillId="2" borderId="84" xfId="1" applyNumberFormat="1" applyFont="1" applyFill="1" applyBorder="1" applyAlignment="1">
      <alignment horizontal="center" wrapText="1"/>
    </xf>
    <xf numFmtId="164" fontId="1" fillId="2" borderId="62" xfId="1" applyNumberFormat="1" applyFont="1" applyFill="1" applyBorder="1" applyAlignment="1">
      <alignment horizontal="center" wrapText="1"/>
    </xf>
    <xf numFmtId="164" fontId="1" fillId="2" borderId="87" xfId="1" applyNumberFormat="1" applyFont="1" applyFill="1" applyBorder="1" applyAlignment="1">
      <alignment horizontal="center" wrapText="1"/>
    </xf>
    <xf numFmtId="164" fontId="1" fillId="2" borderId="88" xfId="1" applyNumberFormat="1" applyFont="1" applyFill="1" applyBorder="1" applyAlignment="1">
      <alignment horizontal="center" wrapText="1"/>
    </xf>
    <xf numFmtId="164" fontId="1" fillId="2" borderId="85" xfId="1" applyNumberFormat="1" applyFont="1" applyFill="1" applyBorder="1" applyAlignment="1">
      <alignment horizontal="center" wrapText="1"/>
    </xf>
    <xf numFmtId="165" fontId="0" fillId="3" borderId="19" xfId="1" applyNumberFormat="1" applyFont="1" applyFill="1" applyBorder="1"/>
    <xf numFmtId="165" fontId="0" fillId="3" borderId="20" xfId="1" applyNumberFormat="1" applyFont="1" applyFill="1" applyBorder="1"/>
    <xf numFmtId="165" fontId="0" fillId="3" borderId="81" xfId="1" applyNumberFormat="1" applyFont="1" applyFill="1" applyBorder="1"/>
    <xf numFmtId="165" fontId="0" fillId="3" borderId="21" xfId="1" applyNumberFormat="1" applyFont="1" applyFill="1" applyBorder="1"/>
    <xf numFmtId="165" fontId="0" fillId="3" borderId="1" xfId="1" applyNumberFormat="1" applyFont="1" applyFill="1" applyBorder="1"/>
    <xf numFmtId="165" fontId="0" fillId="3" borderId="23" xfId="1" applyNumberFormat="1" applyFont="1" applyFill="1" applyBorder="1"/>
    <xf numFmtId="165" fontId="0" fillId="3" borderId="42" xfId="1" applyNumberFormat="1" applyFont="1" applyFill="1" applyBorder="1"/>
    <xf numFmtId="165" fontId="0" fillId="3" borderId="16" xfId="1" applyNumberFormat="1" applyFont="1" applyFill="1" applyBorder="1"/>
    <xf numFmtId="165" fontId="0" fillId="3" borderId="6" xfId="1" applyNumberFormat="1" applyFont="1" applyFill="1" applyBorder="1"/>
    <xf numFmtId="165" fontId="0" fillId="3" borderId="77" xfId="1" applyNumberFormat="1" applyFont="1" applyFill="1" applyBorder="1"/>
    <xf numFmtId="165" fontId="0" fillId="3" borderId="3" xfId="1" applyNumberFormat="1" applyFont="1" applyFill="1" applyBorder="1"/>
    <xf numFmtId="165" fontId="0" fillId="3" borderId="82" xfId="1" applyNumberFormat="1" applyFont="1" applyFill="1" applyBorder="1"/>
    <xf numFmtId="165" fontId="0" fillId="3" borderId="75" xfId="1" applyNumberFormat="1" applyFont="1" applyFill="1" applyBorder="1"/>
    <xf numFmtId="165" fontId="0" fillId="3" borderId="76" xfId="1" applyNumberFormat="1" applyFont="1" applyFill="1" applyBorder="1"/>
    <xf numFmtId="165" fontId="0" fillId="3" borderId="83" xfId="1" applyNumberFormat="1" applyFont="1" applyFill="1" applyBorder="1"/>
    <xf numFmtId="0" fontId="13" fillId="2" borderId="78" xfId="0" applyFont="1" applyFill="1" applyBorder="1"/>
    <xf numFmtId="164" fontId="2" fillId="2" borderId="79" xfId="1" applyNumberFormat="1" applyFont="1" applyFill="1" applyBorder="1"/>
    <xf numFmtId="164" fontId="2" fillId="2" borderId="80" xfId="1" applyNumberFormat="1" applyFont="1" applyFill="1" applyBorder="1"/>
    <xf numFmtId="164" fontId="0" fillId="0" borderId="90" xfId="1" applyNumberFormat="1" applyFont="1" applyBorder="1"/>
    <xf numFmtId="164" fontId="0" fillId="4" borderId="90" xfId="1" applyNumberFormat="1" applyFont="1" applyFill="1" applyBorder="1"/>
    <xf numFmtId="0" fontId="0" fillId="0" borderId="1" xfId="0" applyFont="1" applyBorder="1"/>
    <xf numFmtId="0" fontId="0" fillId="4" borderId="1" xfId="0" applyFont="1" applyFill="1" applyBorder="1"/>
    <xf numFmtId="0" fontId="8" fillId="4" borderId="54" xfId="0" applyFont="1" applyFill="1" applyBorder="1"/>
    <xf numFmtId="164" fontId="0" fillId="4" borderId="8" xfId="1" applyNumberFormat="1" applyFont="1" applyFill="1" applyBorder="1"/>
    <xf numFmtId="0" fontId="0" fillId="4" borderId="9" xfId="0" applyFont="1" applyFill="1" applyBorder="1"/>
    <xf numFmtId="164" fontId="0" fillId="4" borderId="47" xfId="1" applyNumberFormat="1" applyFont="1" applyFill="1" applyBorder="1"/>
    <xf numFmtId="0" fontId="0" fillId="0" borderId="91" xfId="0" applyBorder="1"/>
    <xf numFmtId="0" fontId="0" fillId="0" borderId="26" xfId="0" applyBorder="1"/>
    <xf numFmtId="0" fontId="0" fillId="5" borderId="91" xfId="0" applyFont="1" applyFill="1" applyBorder="1"/>
    <xf numFmtId="0" fontId="0" fillId="4" borderId="91" xfId="0" applyFont="1" applyFill="1" applyBorder="1"/>
    <xf numFmtId="0" fontId="2" fillId="4" borderId="92" xfId="0" applyFont="1" applyFill="1" applyBorder="1"/>
    <xf numFmtId="164" fontId="0" fillId="4" borderId="76" xfId="1" applyNumberFormat="1" applyFont="1" applyFill="1" applyBorder="1"/>
    <xf numFmtId="0" fontId="0" fillId="0" borderId="83" xfId="0" applyBorder="1"/>
    <xf numFmtId="164" fontId="0" fillId="3" borderId="89" xfId="1" applyNumberFormat="1" applyFont="1" applyFill="1" applyBorder="1"/>
    <xf numFmtId="164" fontId="0" fillId="3" borderId="4" xfId="1" applyNumberFormat="1" applyFont="1" applyFill="1" applyBorder="1"/>
    <xf numFmtId="164" fontId="2" fillId="2" borderId="86" xfId="1" applyNumberFormat="1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164" fontId="2" fillId="2" borderId="48" xfId="1" applyNumberFormat="1" applyFont="1" applyFill="1" applyBorder="1" applyAlignment="1">
      <alignment horizontal="left"/>
    </xf>
    <xf numFmtId="164" fontId="2" fillId="2" borderId="49" xfId="1" applyNumberFormat="1" applyFont="1" applyFill="1" applyBorder="1" applyAlignment="1">
      <alignment horizontal="left"/>
    </xf>
    <xf numFmtId="9" fontId="2" fillId="2" borderId="48" xfId="2" applyFont="1" applyFill="1" applyBorder="1" applyAlignment="1">
      <alignment horizontal="center"/>
    </xf>
    <xf numFmtId="9" fontId="2" fillId="2" borderId="49" xfId="2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68" xfId="0" applyFont="1" applyBorder="1" applyAlignment="1">
      <alignment horizontal="center" wrapText="1"/>
    </xf>
  </cellXfs>
  <cellStyles count="4">
    <cellStyle name="Komma" xfId="1" builtinId="3"/>
    <cellStyle name="Normal" xfId="0" builtinId="0"/>
    <cellStyle name="Normal 2" xfId="3"/>
    <cellStyle name="Procent" xfId="2" builtinId="5"/>
  </cellStyles>
  <dxfs count="39"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ill>
        <patternFill>
          <bgColor indexed="26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DC143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FFFF"/>
      </font>
      <fill>
        <patternFill>
          <bgColor rgb="FFDC143C"/>
        </patternFill>
      </fill>
    </dxf>
    <dxf>
      <fill>
        <patternFill>
          <bgColor indexed="26"/>
        </patternFill>
      </fill>
    </dxf>
    <dxf>
      <font>
        <color rgb="FFFFFFFF"/>
      </font>
      <fill>
        <patternFill>
          <bgColor rgb="FFDC143C"/>
        </patternFill>
      </fill>
    </dxf>
    <dxf>
      <fill>
        <patternFill>
          <bgColor indexed="26"/>
        </patternFill>
      </fill>
    </dxf>
    <dxf>
      <font>
        <color rgb="FFFFFFFF"/>
      </font>
      <fill>
        <patternFill>
          <bgColor rgb="FFDC143C"/>
        </patternFill>
      </fill>
    </dxf>
    <dxf>
      <fill>
        <patternFill>
          <bgColor indexed="26"/>
        </patternFill>
      </fill>
    </dxf>
    <dxf>
      <font>
        <color rgb="FFFFFFFF"/>
      </font>
      <fill>
        <patternFill>
          <bgColor rgb="FFDC143C"/>
        </patternFill>
      </fill>
    </dxf>
  </dxfs>
  <tableStyles count="1" defaultTableStyle="TableStyleMedium2" defaultPivotStyle="PivotStyleLight16">
    <tableStyle name="Tabeltypografi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Beholdningsudvikling</a:t>
            </a:r>
          </a:p>
        </c:rich>
      </c:tx>
      <c:layout>
        <c:manualLayout>
          <c:xMode val="edge"/>
          <c:yMode val="edge"/>
          <c:x val="0.32598031338519662"/>
          <c:y val="6.295247088448221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074397458765713"/>
          <c:y val="0.20351368968397365"/>
          <c:w val="0.77722645432775217"/>
          <c:h val="0.6088978608552118"/>
        </c:manualLayout>
      </c:layout>
      <c:lineChart>
        <c:grouping val="standard"/>
        <c:varyColors val="0"/>
        <c:ser>
          <c:idx val="1"/>
          <c:order val="0"/>
          <c:tx>
            <c:strRef>
              <c:f>Månedsfordeling!$A$5</c:f>
              <c:strCache>
                <c:ptCount val="1"/>
                <c:pt idx="0">
                  <c:v>Afgræsning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Månedsfordeling!$B$23:$Q$23</c:f>
              <c:strCache>
                <c:ptCount val="1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Maj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Sept</c:v>
                </c:pt>
                <c:pt idx="11">
                  <c:v>Okt</c:v>
                </c:pt>
                <c:pt idx="12">
                  <c:v>Nov</c:v>
                </c:pt>
                <c:pt idx="14">
                  <c:v>Dec</c:v>
                </c:pt>
                <c:pt idx="15">
                  <c:v>Anbefal.*</c:v>
                </c:pt>
              </c:strCache>
            </c:strRef>
          </c:cat>
          <c:val>
            <c:numRef>
              <c:f>Månedsfordeling!$B$17:$N$17</c:f>
              <c:numCache>
                <c:formatCode>_ * #,##0_ ;_ * \-#,##0_ ;_ * "-"??_ ;_ @_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-1.1999999999999993</c:v>
                </c:pt>
                <c:pt idx="6">
                  <c:v>23.58</c:v>
                </c:pt>
                <c:pt idx="7">
                  <c:v>64.97999999999999</c:v>
                </c:pt>
                <c:pt idx="8">
                  <c:v>74.759999999999991</c:v>
                </c:pt>
                <c:pt idx="9">
                  <c:v>54.539999999999992</c:v>
                </c:pt>
                <c:pt idx="10">
                  <c:v>29.939999999999991</c:v>
                </c:pt>
                <c:pt idx="11">
                  <c:v>2.4599999999999937</c:v>
                </c:pt>
                <c:pt idx="12">
                  <c:v>2.4599999999999937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Månedsfordeling!$A$6</c:f>
              <c:strCache>
                <c:ptCount val="1"/>
                <c:pt idx="0">
                  <c:v>Græsensilage</c:v>
                </c:pt>
              </c:strCache>
            </c:strRef>
          </c:tx>
          <c:spPr>
            <a:ln>
              <a:solidFill>
                <a:schemeClr val="tx2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Månedsfordeling!$B$23:$Q$23</c:f>
              <c:strCache>
                <c:ptCount val="1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Maj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Sept</c:v>
                </c:pt>
                <c:pt idx="11">
                  <c:v>Okt</c:v>
                </c:pt>
                <c:pt idx="12">
                  <c:v>Nov</c:v>
                </c:pt>
                <c:pt idx="14">
                  <c:v>Dec</c:v>
                </c:pt>
                <c:pt idx="15">
                  <c:v>Anbefal.*</c:v>
                </c:pt>
              </c:strCache>
            </c:strRef>
          </c:cat>
          <c:val>
            <c:numRef>
              <c:f>Månedsfordeling!$B$18:$N$18</c:f>
              <c:numCache>
                <c:formatCode>_ * #,##0_ ;_ * \-#,##0_ ;_ * "-"??_ ;_ @_ </c:formatCode>
                <c:ptCount val="13"/>
                <c:pt idx="0">
                  <c:v>201.4</c:v>
                </c:pt>
                <c:pt idx="1">
                  <c:v>151.18</c:v>
                </c:pt>
                <c:pt idx="2">
                  <c:v>100.96000000000001</c:v>
                </c:pt>
                <c:pt idx="3">
                  <c:v>55.600000000000009</c:v>
                </c:pt>
                <c:pt idx="4">
                  <c:v>5.3800000000000097</c:v>
                </c:pt>
                <c:pt idx="5">
                  <c:v>-31.069999999999993</c:v>
                </c:pt>
                <c:pt idx="6">
                  <c:v>-43.624999999999993</c:v>
                </c:pt>
                <c:pt idx="7">
                  <c:v>163.67500000000001</c:v>
                </c:pt>
                <c:pt idx="8">
                  <c:v>317.37</c:v>
                </c:pt>
                <c:pt idx="9">
                  <c:v>437.815</c:v>
                </c:pt>
                <c:pt idx="10">
                  <c:v>492.16500000000002</c:v>
                </c:pt>
                <c:pt idx="11">
                  <c:v>542.67000000000007</c:v>
                </c:pt>
                <c:pt idx="12">
                  <c:v>494.07000000000005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Månedsfordeling!$A$7</c:f>
              <c:strCache>
                <c:ptCount val="1"/>
                <c:pt idx="0">
                  <c:v>Helsædsensilage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Månedsfordeling!$B$23:$Q$23</c:f>
              <c:strCache>
                <c:ptCount val="1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Maj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Sept</c:v>
                </c:pt>
                <c:pt idx="11">
                  <c:v>Okt</c:v>
                </c:pt>
                <c:pt idx="12">
                  <c:v>Nov</c:v>
                </c:pt>
                <c:pt idx="14">
                  <c:v>Dec</c:v>
                </c:pt>
                <c:pt idx="15">
                  <c:v>Anbefal.*</c:v>
                </c:pt>
              </c:strCache>
            </c:strRef>
          </c:cat>
          <c:val>
            <c:numRef>
              <c:f>Månedsfordeling!$B$19:$N$19</c:f>
              <c:numCache>
                <c:formatCode>_ * #,##0_ ;_ * \-#,##0_ ;_ * "-"??_ ;_ @_ </c:formatCode>
                <c:ptCount val="13"/>
                <c:pt idx="0">
                  <c:v>48.8</c:v>
                </c:pt>
                <c:pt idx="1">
                  <c:v>32.06</c:v>
                </c:pt>
                <c:pt idx="2">
                  <c:v>15.320000000000004</c:v>
                </c:pt>
                <c:pt idx="3">
                  <c:v>0.20000000000000462</c:v>
                </c:pt>
                <c:pt idx="4">
                  <c:v>-16.539999999999992</c:v>
                </c:pt>
                <c:pt idx="5">
                  <c:v>-28.689999999999991</c:v>
                </c:pt>
                <c:pt idx="6">
                  <c:v>-32.874999999999993</c:v>
                </c:pt>
                <c:pt idx="7">
                  <c:v>-36.92499999999999</c:v>
                </c:pt>
                <c:pt idx="8">
                  <c:v>-6.1099999999999897</c:v>
                </c:pt>
                <c:pt idx="9">
                  <c:v>-10.294999999999989</c:v>
                </c:pt>
                <c:pt idx="10">
                  <c:v>-14.344999999999988</c:v>
                </c:pt>
                <c:pt idx="11">
                  <c:v>-18.529999999999987</c:v>
                </c:pt>
                <c:pt idx="12">
                  <c:v>-34.72999999999999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Månedsfordeling!$A$21</c:f>
              <c:strCache>
                <c:ptCount val="1"/>
                <c:pt idx="0">
                  <c:v>I alt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13"/>
            <c:marker>
              <c:symbol val="dash"/>
              <c:size val="15"/>
              <c:spPr>
                <a:solidFill>
                  <a:schemeClr val="tx1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14"/>
            <c:marker>
              <c:symbol val="dash"/>
              <c:size val="1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noFill/>
              </a:ln>
            </c:spPr>
          </c:dPt>
          <c:dPt>
            <c:idx val="15"/>
            <c:marker>
              <c:symbol val="dash"/>
              <c:size val="15"/>
              <c:spPr>
                <a:solidFill>
                  <a:schemeClr val="tx1"/>
                </a:solidFill>
              </c:spPr>
            </c:marker>
            <c:bubble3D val="0"/>
            <c:spPr>
              <a:ln w="38100">
                <a:noFill/>
              </a:ln>
            </c:spPr>
          </c:dPt>
          <c:dLbls>
            <c:dLbl>
              <c:idx val="14"/>
              <c:layout>
                <c:manualLayout>
                  <c:x val="-6.0234172409121128E-2"/>
                  <c:y val="-3.809417590506569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b="1"/>
                  </a:pPr>
                  <a:endParaRPr lang="da-D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4.5478191276510607E-2"/>
                  <c:y val="-3.9062008183821217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1050" b="1"/>
                  </a:pPr>
                  <a:endParaRPr lang="da-D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Månedsfordeling!$B$23:$Q$23</c:f>
              <c:strCache>
                <c:ptCount val="1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Maj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Sept</c:v>
                </c:pt>
                <c:pt idx="11">
                  <c:v>Okt</c:v>
                </c:pt>
                <c:pt idx="12">
                  <c:v>Nov</c:v>
                </c:pt>
                <c:pt idx="14">
                  <c:v>Dec</c:v>
                </c:pt>
                <c:pt idx="15">
                  <c:v>Anbefal.*</c:v>
                </c:pt>
              </c:strCache>
            </c:strRef>
          </c:cat>
          <c:val>
            <c:numRef>
              <c:f>Månedsfordeling!$B$20:$Q$20</c:f>
              <c:numCache>
                <c:formatCode>_ * #,##0_ ;_ * \-#,##0_ ;_ * "-"??_ ;_ @_ </c:formatCode>
                <c:ptCount val="16"/>
                <c:pt idx="0">
                  <c:v>250.2</c:v>
                </c:pt>
                <c:pt idx="1">
                  <c:v>183.24</c:v>
                </c:pt>
                <c:pt idx="2">
                  <c:v>116.28000000000002</c:v>
                </c:pt>
                <c:pt idx="3">
                  <c:v>55.800000000000011</c:v>
                </c:pt>
                <c:pt idx="4">
                  <c:v>-11.159999999999982</c:v>
                </c:pt>
                <c:pt idx="5">
                  <c:v>-60.959999999999987</c:v>
                </c:pt>
                <c:pt idx="6">
                  <c:v>-52.919999999999987</c:v>
                </c:pt>
                <c:pt idx="7">
                  <c:v>191.73000000000002</c:v>
                </c:pt>
                <c:pt idx="8">
                  <c:v>386.02</c:v>
                </c:pt>
                <c:pt idx="9">
                  <c:v>482.06</c:v>
                </c:pt>
                <c:pt idx="10">
                  <c:v>507.76000000000005</c:v>
                </c:pt>
                <c:pt idx="11">
                  <c:v>526.60000000000014</c:v>
                </c:pt>
                <c:pt idx="12">
                  <c:v>461.80000000000007</c:v>
                </c:pt>
                <c:pt idx="14">
                  <c:v>394.84000000000009</c:v>
                </c:pt>
                <c:pt idx="15">
                  <c:v>256.5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1904"/>
        <c:axId val="127382272"/>
      </c:lineChart>
      <c:catAx>
        <c:axId val="12737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Ultimo hver måned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a-DK"/>
          </a:p>
        </c:txPr>
        <c:crossAx val="127382272"/>
        <c:crosses val="autoZero"/>
        <c:auto val="1"/>
        <c:lblAlgn val="ctr"/>
        <c:lblOffset val="100"/>
        <c:noMultiLvlLbl val="0"/>
      </c:catAx>
      <c:valAx>
        <c:axId val="127382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1.000 FEN</a:t>
                </a:r>
              </a:p>
            </c:rich>
          </c:tx>
          <c:layout>
            <c:manualLayout>
              <c:xMode val="edge"/>
              <c:yMode val="edge"/>
              <c:x val="9.7448428190173714E-3"/>
              <c:y val="0.41704864211561182"/>
            </c:manualLayout>
          </c:layout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273719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4646110412669008E-2"/>
          <c:y val="0.10387157695939565"/>
          <c:w val="0.9"/>
          <c:h val="6.4537435653404501E-2"/>
        </c:manualLayout>
      </c:layout>
      <c:overlay val="0"/>
      <c:txPr>
        <a:bodyPr/>
        <a:lstStyle/>
        <a:p>
          <a:pPr>
            <a:defRPr sz="1200"/>
          </a:pPr>
          <a:endParaRPr lang="da-DK"/>
        </a:p>
      </c:txPr>
    </c:legend>
    <c:plotVisOnly val="1"/>
    <c:dispBlanksAs val="gap"/>
    <c:showDLblsOverMax val="0"/>
  </c:chart>
  <c:spPr>
    <a:ln w="25400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Beholdningsudvikling</a:t>
            </a:r>
          </a:p>
        </c:rich>
      </c:tx>
      <c:layout>
        <c:manualLayout>
          <c:xMode val="edge"/>
          <c:yMode val="edge"/>
          <c:x val="0.32598031338519662"/>
          <c:y val="6.295247088448221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31426743925917"/>
          <c:y val="0.20351368968397365"/>
          <c:w val="0.78765616482813594"/>
          <c:h val="0.6088978608552118"/>
        </c:manualLayout>
      </c:layout>
      <c:lineChart>
        <c:grouping val="standard"/>
        <c:varyColors val="0"/>
        <c:ser>
          <c:idx val="1"/>
          <c:order val="0"/>
          <c:tx>
            <c:strRef>
              <c:f>Månedsfordeling!$A$5</c:f>
              <c:strCache>
                <c:ptCount val="1"/>
                <c:pt idx="0">
                  <c:v>Afgræsning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Månedsfordeling!$B$23:$Q$23</c:f>
              <c:strCache>
                <c:ptCount val="1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Maj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Sept</c:v>
                </c:pt>
                <c:pt idx="11">
                  <c:v>Okt</c:v>
                </c:pt>
                <c:pt idx="12">
                  <c:v>Nov</c:v>
                </c:pt>
                <c:pt idx="14">
                  <c:v>Dec</c:v>
                </c:pt>
                <c:pt idx="15">
                  <c:v>Anbefal.*</c:v>
                </c:pt>
              </c:strCache>
            </c:strRef>
          </c:cat>
          <c:val>
            <c:numRef>
              <c:f>Månedsfordeling!$B$17:$N$17</c:f>
              <c:numCache>
                <c:formatCode>_ * #,##0_ ;_ * \-#,##0_ ;_ * "-"??_ ;_ @_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-1.1999999999999993</c:v>
                </c:pt>
                <c:pt idx="6">
                  <c:v>23.58</c:v>
                </c:pt>
                <c:pt idx="7">
                  <c:v>64.97999999999999</c:v>
                </c:pt>
                <c:pt idx="8">
                  <c:v>74.759999999999991</c:v>
                </c:pt>
                <c:pt idx="9">
                  <c:v>54.539999999999992</c:v>
                </c:pt>
                <c:pt idx="10">
                  <c:v>29.939999999999991</c:v>
                </c:pt>
                <c:pt idx="11">
                  <c:v>2.4599999999999937</c:v>
                </c:pt>
                <c:pt idx="12">
                  <c:v>2.4599999999999937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Månedsfordeling!$A$6</c:f>
              <c:strCache>
                <c:ptCount val="1"/>
                <c:pt idx="0">
                  <c:v>Græsensilage</c:v>
                </c:pt>
              </c:strCache>
            </c:strRef>
          </c:tx>
          <c:spPr>
            <a:ln>
              <a:solidFill>
                <a:schemeClr val="tx2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Månedsfordeling!$B$23:$Q$23</c:f>
              <c:strCache>
                <c:ptCount val="1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Maj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Sept</c:v>
                </c:pt>
                <c:pt idx="11">
                  <c:v>Okt</c:v>
                </c:pt>
                <c:pt idx="12">
                  <c:v>Nov</c:v>
                </c:pt>
                <c:pt idx="14">
                  <c:v>Dec</c:v>
                </c:pt>
                <c:pt idx="15">
                  <c:v>Anbefal.*</c:v>
                </c:pt>
              </c:strCache>
            </c:strRef>
          </c:cat>
          <c:val>
            <c:numRef>
              <c:f>Månedsfordeling!$B$18:$N$18</c:f>
              <c:numCache>
                <c:formatCode>_ * #,##0_ ;_ * \-#,##0_ ;_ * "-"??_ ;_ @_ </c:formatCode>
                <c:ptCount val="13"/>
                <c:pt idx="0">
                  <c:v>201.4</c:v>
                </c:pt>
                <c:pt idx="1">
                  <c:v>151.18</c:v>
                </c:pt>
                <c:pt idx="2">
                  <c:v>100.96000000000001</c:v>
                </c:pt>
                <c:pt idx="3">
                  <c:v>55.600000000000009</c:v>
                </c:pt>
                <c:pt idx="4">
                  <c:v>5.3800000000000097</c:v>
                </c:pt>
                <c:pt idx="5">
                  <c:v>-31.069999999999993</c:v>
                </c:pt>
                <c:pt idx="6">
                  <c:v>-43.624999999999993</c:v>
                </c:pt>
                <c:pt idx="7">
                  <c:v>163.67500000000001</c:v>
                </c:pt>
                <c:pt idx="8">
                  <c:v>317.37</c:v>
                </c:pt>
                <c:pt idx="9">
                  <c:v>437.815</c:v>
                </c:pt>
                <c:pt idx="10">
                  <c:v>492.16500000000002</c:v>
                </c:pt>
                <c:pt idx="11">
                  <c:v>542.67000000000007</c:v>
                </c:pt>
                <c:pt idx="12">
                  <c:v>494.07000000000005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Månedsfordeling!$A$7</c:f>
              <c:strCache>
                <c:ptCount val="1"/>
                <c:pt idx="0">
                  <c:v>Helsædsensilage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Månedsfordeling!$B$23:$Q$23</c:f>
              <c:strCache>
                <c:ptCount val="1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Maj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Sept</c:v>
                </c:pt>
                <c:pt idx="11">
                  <c:v>Okt</c:v>
                </c:pt>
                <c:pt idx="12">
                  <c:v>Nov</c:v>
                </c:pt>
                <c:pt idx="14">
                  <c:v>Dec</c:v>
                </c:pt>
                <c:pt idx="15">
                  <c:v>Anbefal.*</c:v>
                </c:pt>
              </c:strCache>
            </c:strRef>
          </c:cat>
          <c:val>
            <c:numRef>
              <c:f>Månedsfordeling!$B$19:$N$19</c:f>
              <c:numCache>
                <c:formatCode>_ * #,##0_ ;_ * \-#,##0_ ;_ * "-"??_ ;_ @_ </c:formatCode>
                <c:ptCount val="13"/>
                <c:pt idx="0">
                  <c:v>48.8</c:v>
                </c:pt>
                <c:pt idx="1">
                  <c:v>32.06</c:v>
                </c:pt>
                <c:pt idx="2">
                  <c:v>15.320000000000004</c:v>
                </c:pt>
                <c:pt idx="3">
                  <c:v>0.20000000000000462</c:v>
                </c:pt>
                <c:pt idx="4">
                  <c:v>-16.539999999999992</c:v>
                </c:pt>
                <c:pt idx="5">
                  <c:v>-28.689999999999991</c:v>
                </c:pt>
                <c:pt idx="6">
                  <c:v>-32.874999999999993</c:v>
                </c:pt>
                <c:pt idx="7">
                  <c:v>-36.92499999999999</c:v>
                </c:pt>
                <c:pt idx="8">
                  <c:v>-6.1099999999999897</c:v>
                </c:pt>
                <c:pt idx="9">
                  <c:v>-10.294999999999989</c:v>
                </c:pt>
                <c:pt idx="10">
                  <c:v>-14.344999999999988</c:v>
                </c:pt>
                <c:pt idx="11">
                  <c:v>-18.529999999999987</c:v>
                </c:pt>
                <c:pt idx="12">
                  <c:v>-34.72999999999999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Månedsfordeling!$A$21</c:f>
              <c:strCache>
                <c:ptCount val="1"/>
                <c:pt idx="0">
                  <c:v>I alt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13"/>
            <c:marker>
              <c:symbol val="dash"/>
              <c:size val="15"/>
              <c:spPr>
                <a:solidFill>
                  <a:schemeClr val="tx1"/>
                </a:solidFill>
                <a:ln>
                  <a:solidFill>
                    <a:sysClr val="windowText" lastClr="000000"/>
                  </a:solidFill>
                </a:ln>
              </c:spPr>
            </c:marker>
            <c:bubble3D val="0"/>
          </c:dPt>
          <c:dPt>
            <c:idx val="14"/>
            <c:marker>
              <c:symbol val="dash"/>
              <c:size val="1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spPr>
              <a:ln w="38100">
                <a:noFill/>
              </a:ln>
            </c:spPr>
          </c:dPt>
          <c:dPt>
            <c:idx val="15"/>
            <c:marker>
              <c:symbol val="dash"/>
              <c:size val="15"/>
            </c:marker>
            <c:bubble3D val="0"/>
            <c:spPr>
              <a:ln w="38100">
                <a:noFill/>
              </a:ln>
            </c:spPr>
          </c:dPt>
          <c:dLbls>
            <c:dLbl>
              <c:idx val="14"/>
              <c:layout>
                <c:manualLayout>
                  <c:x val="-6.0234172409121128E-2"/>
                  <c:y val="-3.809417590506569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b="1"/>
                  </a:pPr>
                  <a:endParaRPr lang="da-D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4.5478191276510607E-2"/>
                  <c:y val="-3.9062008183821217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 sz="1050" b="1"/>
                  </a:pPr>
                  <a:endParaRPr lang="da-D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Månedsfordeling!$B$23:$Q$23</c:f>
              <c:strCache>
                <c:ptCount val="16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Maj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Sept</c:v>
                </c:pt>
                <c:pt idx="11">
                  <c:v>Okt</c:v>
                </c:pt>
                <c:pt idx="12">
                  <c:v>Nov</c:v>
                </c:pt>
                <c:pt idx="14">
                  <c:v>Dec</c:v>
                </c:pt>
                <c:pt idx="15">
                  <c:v>Anbefal.*</c:v>
                </c:pt>
              </c:strCache>
            </c:strRef>
          </c:cat>
          <c:val>
            <c:numRef>
              <c:f>Månedsfordeling!$B$20:$Q$20</c:f>
              <c:numCache>
                <c:formatCode>_ * #,##0_ ;_ * \-#,##0_ ;_ * "-"??_ ;_ @_ </c:formatCode>
                <c:ptCount val="16"/>
                <c:pt idx="0">
                  <c:v>250.2</c:v>
                </c:pt>
                <c:pt idx="1">
                  <c:v>183.24</c:v>
                </c:pt>
                <c:pt idx="2">
                  <c:v>116.28000000000002</c:v>
                </c:pt>
                <c:pt idx="3">
                  <c:v>55.800000000000011</c:v>
                </c:pt>
                <c:pt idx="4">
                  <c:v>-11.159999999999982</c:v>
                </c:pt>
                <c:pt idx="5">
                  <c:v>-60.959999999999987</c:v>
                </c:pt>
                <c:pt idx="6">
                  <c:v>-52.919999999999987</c:v>
                </c:pt>
                <c:pt idx="7">
                  <c:v>191.73000000000002</c:v>
                </c:pt>
                <c:pt idx="8">
                  <c:v>386.02</c:v>
                </c:pt>
                <c:pt idx="9">
                  <c:v>482.06</c:v>
                </c:pt>
                <c:pt idx="10">
                  <c:v>507.76000000000005</c:v>
                </c:pt>
                <c:pt idx="11">
                  <c:v>526.60000000000014</c:v>
                </c:pt>
                <c:pt idx="12">
                  <c:v>461.80000000000007</c:v>
                </c:pt>
                <c:pt idx="14">
                  <c:v>394.84000000000009</c:v>
                </c:pt>
                <c:pt idx="15">
                  <c:v>256.5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59744"/>
        <c:axId val="76961664"/>
      </c:lineChart>
      <c:catAx>
        <c:axId val="76959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Ultimo hver måned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a-DK"/>
          </a:p>
        </c:txPr>
        <c:crossAx val="76961664"/>
        <c:crosses val="autoZero"/>
        <c:auto val="1"/>
        <c:lblAlgn val="ctr"/>
        <c:lblOffset val="100"/>
        <c:noMultiLvlLbl val="0"/>
      </c:catAx>
      <c:valAx>
        <c:axId val="76961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1.000 FEN</a:t>
                </a:r>
              </a:p>
            </c:rich>
          </c:tx>
          <c:layout>
            <c:manualLayout>
              <c:xMode val="edge"/>
              <c:yMode val="edge"/>
              <c:x val="9.7448428190173714E-3"/>
              <c:y val="0.41704864211561182"/>
            </c:manualLayout>
          </c:layout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769597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4646110412669008E-2"/>
          <c:y val="0.10387157695939565"/>
          <c:w val="0.9"/>
          <c:h val="6.4537435653404501E-2"/>
        </c:manualLayout>
      </c:layout>
      <c:overlay val="0"/>
      <c:txPr>
        <a:bodyPr/>
        <a:lstStyle/>
        <a:p>
          <a:pPr>
            <a:defRPr sz="1200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c.europa.eu/agriculture/index_da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38</xdr:row>
      <xdr:rowOff>335280</xdr:rowOff>
    </xdr:from>
    <xdr:to>
      <xdr:col>6</xdr:col>
      <xdr:colOff>556260</xdr:colOff>
      <xdr:row>58</xdr:row>
      <xdr:rowOff>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373380</xdr:colOff>
      <xdr:row>41</xdr:row>
      <xdr:rowOff>129540</xdr:rowOff>
    </xdr:from>
    <xdr:to>
      <xdr:col>6</xdr:col>
      <xdr:colOff>114300</xdr:colOff>
      <xdr:row>57</xdr:row>
      <xdr:rowOff>144780</xdr:rowOff>
    </xdr:to>
    <xdr:sp macro="" textlink="">
      <xdr:nvSpPr>
        <xdr:cNvPr id="3" name="Rektangel 2"/>
        <xdr:cNvSpPr/>
      </xdr:nvSpPr>
      <xdr:spPr>
        <a:xfrm>
          <a:off x="4975860" y="9578340"/>
          <a:ext cx="182880" cy="294132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20</xdr:col>
      <xdr:colOff>75445</xdr:colOff>
      <xdr:row>8</xdr:row>
      <xdr:rowOff>70869</xdr:rowOff>
    </xdr:to>
    <xdr:pic>
      <xdr:nvPicPr>
        <xdr:cNvPr id="2" name="Billed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0" y="1000125"/>
          <a:ext cx="3599695" cy="13472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148590</xdr:rowOff>
    </xdr:from>
    <xdr:to>
      <xdr:col>7</xdr:col>
      <xdr:colOff>601980</xdr:colOff>
      <xdr:row>49</xdr:row>
      <xdr:rowOff>160020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SEGES">
      <a:dk1>
        <a:srgbClr val="000000"/>
      </a:dk1>
      <a:lt1>
        <a:sysClr val="window" lastClr="FFFFFF"/>
      </a:lt1>
      <a:dk2>
        <a:srgbClr val="09562C"/>
      </a:dk2>
      <a:lt2>
        <a:srgbClr val="E7E5DB"/>
      </a:lt2>
      <a:accent1>
        <a:srgbClr val="076471"/>
      </a:accent1>
      <a:accent2>
        <a:srgbClr val="C8C7B2"/>
      </a:accent2>
      <a:accent3>
        <a:srgbClr val="9DDCF9"/>
      </a:accent3>
      <a:accent4>
        <a:srgbClr val="7C9877"/>
      </a:accent4>
      <a:accent5>
        <a:srgbClr val="338291"/>
      </a:accent5>
      <a:accent6>
        <a:srgbClr val="E95D0F"/>
      </a:accent6>
      <a:hlink>
        <a:srgbClr val="076471"/>
      </a:hlink>
      <a:folHlink>
        <a:srgbClr val="E95D0F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workbookViewId="0"/>
  </sheetViews>
  <sheetFormatPr defaultRowHeight="15" x14ac:dyDescent="0.25"/>
  <sheetData>
    <row r="1" spans="1:40" x14ac:dyDescent="0.3">
      <c r="A1">
        <v>4</v>
      </c>
      <c r="B1">
        <v>0</v>
      </c>
    </row>
    <row r="2" spans="1:40" x14ac:dyDescent="0.3">
      <c r="A2">
        <v>0</v>
      </c>
    </row>
    <row r="3" spans="1:40" x14ac:dyDescent="0.3">
      <c r="A3">
        <f>Beregning!$E$11</f>
        <v>315</v>
      </c>
      <c r="B3" t="b">
        <v>1</v>
      </c>
      <c r="C3">
        <v>0</v>
      </c>
      <c r="D3">
        <v>1</v>
      </c>
      <c r="E3" t="s">
        <v>69</v>
      </c>
      <c r="F3">
        <v>1</v>
      </c>
      <c r="G3">
        <v>0</v>
      </c>
      <c r="H3">
        <v>0</v>
      </c>
      <c r="J3" t="s">
        <v>10</v>
      </c>
      <c r="K3" t="s">
        <v>11</v>
      </c>
      <c r="L3" t="s">
        <v>12</v>
      </c>
      <c r="AG3">
        <f>Beregning!$E$11</f>
        <v>315</v>
      </c>
      <c r="AH3">
        <v>1</v>
      </c>
      <c r="AI3">
        <v>1</v>
      </c>
      <c r="AJ3" t="b">
        <v>0</v>
      </c>
      <c r="AK3" t="b">
        <v>1</v>
      </c>
      <c r="AL3">
        <v>0</v>
      </c>
      <c r="AM3" t="b">
        <v>0</v>
      </c>
      <c r="AN3" t="e">
        <f>_</f>
        <v>#NAME?</v>
      </c>
    </row>
    <row r="4" spans="1:40" x14ac:dyDescent="0.3">
      <c r="A4">
        <f>Beregning!$E$34</f>
        <v>526.60000000000014</v>
      </c>
      <c r="B4" t="b">
        <v>1</v>
      </c>
      <c r="C4">
        <v>0</v>
      </c>
      <c r="D4">
        <v>1</v>
      </c>
      <c r="E4" t="s">
        <v>65</v>
      </c>
      <c r="F4">
        <v>1</v>
      </c>
      <c r="G4">
        <v>0</v>
      </c>
      <c r="H4">
        <v>0</v>
      </c>
      <c r="J4" t="s">
        <v>10</v>
      </c>
      <c r="K4" t="s">
        <v>11</v>
      </c>
      <c r="L4" t="s">
        <v>12</v>
      </c>
      <c r="AG4">
        <f>Beregning!$E$34</f>
        <v>526.60000000000014</v>
      </c>
      <c r="AH4">
        <v>7</v>
      </c>
      <c r="AI4">
        <v>1</v>
      </c>
      <c r="AJ4" t="b">
        <v>0</v>
      </c>
      <c r="AK4" t="b">
        <v>1</v>
      </c>
      <c r="AL4">
        <v>0</v>
      </c>
      <c r="AM4" t="b">
        <v>0</v>
      </c>
      <c r="AN4" t="e">
        <f>_</f>
        <v>#NAME?</v>
      </c>
    </row>
    <row r="5" spans="1:40" x14ac:dyDescent="0.3">
      <c r="A5">
        <f>Månedsfordeling!$B$17</f>
        <v>0</v>
      </c>
      <c r="B5" t="b">
        <v>1</v>
      </c>
      <c r="C5">
        <v>0</v>
      </c>
      <c r="D5">
        <v>1</v>
      </c>
      <c r="E5" t="s">
        <v>70</v>
      </c>
      <c r="F5">
        <v>1</v>
      </c>
      <c r="G5">
        <v>0</v>
      </c>
      <c r="H5">
        <v>0</v>
      </c>
      <c r="J5" t="s">
        <v>10</v>
      </c>
      <c r="K5" t="s">
        <v>11</v>
      </c>
      <c r="L5" t="s">
        <v>12</v>
      </c>
      <c r="AG5">
        <f>Månedsfordeling!$B$17</f>
        <v>0</v>
      </c>
      <c r="AH5">
        <v>25</v>
      </c>
      <c r="AI5">
        <v>1</v>
      </c>
      <c r="AJ5" t="b">
        <v>0</v>
      </c>
      <c r="AK5" t="b">
        <v>1</v>
      </c>
      <c r="AL5">
        <v>0</v>
      </c>
      <c r="AM5" t="b">
        <v>0</v>
      </c>
      <c r="AN5" t="e">
        <f>_</f>
        <v>#NAME?</v>
      </c>
    </row>
    <row r="6" spans="1:40" x14ac:dyDescent="0.3">
      <c r="A6">
        <f>Månedsfordeling!$B$20</f>
        <v>250.2</v>
      </c>
      <c r="B6" t="b">
        <v>1</v>
      </c>
      <c r="C6" s="2">
        <v>0</v>
      </c>
      <c r="D6">
        <v>1</v>
      </c>
      <c r="E6" t="s">
        <v>70</v>
      </c>
      <c r="F6">
        <v>1</v>
      </c>
      <c r="G6">
        <v>0</v>
      </c>
      <c r="H6">
        <v>0</v>
      </c>
      <c r="J6" t="s">
        <v>10</v>
      </c>
      <c r="K6" t="s">
        <v>11</v>
      </c>
      <c r="L6" t="s">
        <v>12</v>
      </c>
      <c r="AG6">
        <f>Månedsfordeling!$B$20</f>
        <v>250.2</v>
      </c>
      <c r="AH6">
        <v>67</v>
      </c>
      <c r="AI6">
        <v>1</v>
      </c>
      <c r="AJ6" t="b">
        <v>0</v>
      </c>
      <c r="AK6" t="b">
        <v>1</v>
      </c>
      <c r="AL6">
        <v>0</v>
      </c>
      <c r="AM6" t="b">
        <v>0</v>
      </c>
      <c r="AN6" t="e">
        <f>_</f>
        <v>#NAME?</v>
      </c>
    </row>
    <row r="7" spans="1:40" x14ac:dyDescent="0.3">
      <c r="A7">
        <v>0</v>
      </c>
      <c r="C7" s="2"/>
    </row>
    <row r="8" spans="1:40" x14ac:dyDescent="0.3">
      <c r="A8" t="b">
        <v>0</v>
      </c>
      <c r="B8">
        <v>14000</v>
      </c>
      <c r="C8" s="2">
        <v>6709375</v>
      </c>
      <c r="D8">
        <v>6160</v>
      </c>
      <c r="E8">
        <v>100</v>
      </c>
    </row>
    <row r="9" spans="1:40" x14ac:dyDescent="0.3">
      <c r="A9" t="b">
        <v>0</v>
      </c>
      <c r="B9">
        <v>14000</v>
      </c>
      <c r="C9" s="2">
        <v>6709375</v>
      </c>
      <c r="D9">
        <v>6160</v>
      </c>
      <c r="E9">
        <v>500</v>
      </c>
    </row>
    <row r="10" spans="1:40" x14ac:dyDescent="0.3">
      <c r="A10" t="b">
        <v>0</v>
      </c>
      <c r="B10">
        <v>14000</v>
      </c>
      <c r="C10" s="2">
        <v>6709375</v>
      </c>
      <c r="D10">
        <v>6160</v>
      </c>
      <c r="E10">
        <v>1000</v>
      </c>
    </row>
    <row r="11" spans="1:40" x14ac:dyDescent="0.3">
      <c r="A11" t="b">
        <v>0</v>
      </c>
      <c r="B11">
        <v>14000</v>
      </c>
      <c r="C11" s="2">
        <v>6709375</v>
      </c>
      <c r="D11">
        <v>6160</v>
      </c>
      <c r="E11">
        <v>1500</v>
      </c>
    </row>
    <row r="12" spans="1:40" x14ac:dyDescent="0.3">
      <c r="A12" t="b">
        <v>0</v>
      </c>
      <c r="B12">
        <v>14000</v>
      </c>
      <c r="C12" s="2">
        <v>6709375</v>
      </c>
      <c r="D12">
        <v>6160</v>
      </c>
      <c r="E12">
        <v>2000</v>
      </c>
    </row>
    <row r="13" spans="1:40" x14ac:dyDescent="0.3">
      <c r="A13">
        <v>0</v>
      </c>
      <c r="C13" s="2"/>
    </row>
    <row r="14" spans="1:40" x14ac:dyDescent="0.3">
      <c r="A14">
        <v>0</v>
      </c>
      <c r="B14" t="b">
        <v>0</v>
      </c>
      <c r="C14" s="2" t="b">
        <v>0</v>
      </c>
      <c r="D14">
        <v>10</v>
      </c>
      <c r="E14" t="s">
        <v>13</v>
      </c>
      <c r="F14">
        <v>1</v>
      </c>
    </row>
    <row r="15" spans="1:40" x14ac:dyDescent="0.3">
      <c r="C15" s="2"/>
    </row>
    <row r="16" spans="1:40" x14ac:dyDescent="0.3">
      <c r="C16" s="2"/>
    </row>
    <row r="17" spans="3:3" x14ac:dyDescent="0.3">
      <c r="C17" s="2"/>
    </row>
    <row r="18" spans="3:3" x14ac:dyDescent="0.3">
      <c r="C1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0"/>
  <sheetViews>
    <sheetView tabSelected="1" zoomScaleNormal="100" workbookViewId="0">
      <selection activeCell="O5" sqref="O5"/>
    </sheetView>
  </sheetViews>
  <sheetFormatPr defaultRowHeight="15" x14ac:dyDescent="0.25"/>
  <cols>
    <col min="1" max="1" width="3" customWidth="1"/>
    <col min="2" max="2" width="47.85546875" customWidth="1"/>
    <col min="3" max="7" width="8.140625" customWidth="1"/>
    <col min="8" max="8" width="2.5703125" customWidth="1"/>
    <col min="9" max="9" width="11.140625" customWidth="1"/>
    <col min="10" max="12" width="9.28515625" customWidth="1"/>
    <col min="13" max="18" width="8.85546875" customWidth="1"/>
    <col min="19" max="19" width="8.28515625" customWidth="1"/>
  </cols>
  <sheetData>
    <row r="1" spans="1:24" ht="31.9" customHeight="1" x14ac:dyDescent="0.4">
      <c r="A1" s="19"/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8" x14ac:dyDescent="0.25">
      <c r="A2" s="19"/>
      <c r="B2" s="20" t="s">
        <v>73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4.4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thickBot="1" x14ac:dyDescent="0.3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7.25" thickTop="1" thickBot="1" x14ac:dyDescent="0.3">
      <c r="A5" s="19"/>
      <c r="B5" s="85" t="s">
        <v>19</v>
      </c>
      <c r="C5" s="19"/>
      <c r="D5" s="19"/>
      <c r="E5" s="19"/>
      <c r="F5" s="19"/>
      <c r="G5" s="19"/>
      <c r="H5" s="19"/>
      <c r="I5" s="176" t="s">
        <v>71</v>
      </c>
      <c r="J5" s="177"/>
      <c r="K5" s="177"/>
      <c r="L5" s="177"/>
      <c r="M5" s="17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46.5" thickTop="1" thickBot="1" x14ac:dyDescent="0.3">
      <c r="A6" s="19"/>
      <c r="B6" s="88"/>
      <c r="C6" s="86" t="s">
        <v>1</v>
      </c>
      <c r="D6" s="87" t="s">
        <v>4</v>
      </c>
      <c r="E6" s="110" t="s">
        <v>6</v>
      </c>
      <c r="F6" s="19"/>
      <c r="G6" s="19"/>
      <c r="H6" s="19"/>
      <c r="I6" s="54" t="s">
        <v>58</v>
      </c>
      <c r="J6" s="80" t="s">
        <v>74</v>
      </c>
      <c r="K6" s="80"/>
      <c r="L6" s="80" t="s">
        <v>59</v>
      </c>
      <c r="M6" s="81" t="s">
        <v>60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21.75" thickBot="1" x14ac:dyDescent="0.4">
      <c r="A7" s="19"/>
      <c r="B7" s="89" t="s">
        <v>54</v>
      </c>
      <c r="C7" s="7"/>
      <c r="D7" s="8"/>
      <c r="E7" s="90"/>
      <c r="F7" s="19"/>
      <c r="G7" s="19"/>
      <c r="H7" s="19"/>
      <c r="I7" s="72" t="s">
        <v>27</v>
      </c>
      <c r="J7" s="75"/>
      <c r="K7" s="76"/>
      <c r="L7" s="76"/>
      <c r="M7" s="7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x14ac:dyDescent="0.25">
      <c r="A8" s="19"/>
      <c r="B8" s="91" t="s">
        <v>2</v>
      </c>
      <c r="C8" s="9"/>
      <c r="D8" s="10"/>
      <c r="E8" s="111"/>
      <c r="F8" s="19"/>
      <c r="G8" s="19"/>
      <c r="H8" s="19"/>
      <c r="I8" s="73" t="s">
        <v>28</v>
      </c>
      <c r="J8" s="77"/>
      <c r="K8" s="52"/>
      <c r="L8" s="52"/>
      <c r="M8" s="55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x14ac:dyDescent="0.25">
      <c r="A9" s="19"/>
      <c r="B9" s="92" t="s">
        <v>5</v>
      </c>
      <c r="C9" s="11"/>
      <c r="D9" s="12"/>
      <c r="E9" s="112">
        <v>250</v>
      </c>
      <c r="F9" s="19"/>
      <c r="G9" s="19"/>
      <c r="H9" s="19"/>
      <c r="I9" s="73" t="s">
        <v>29</v>
      </c>
      <c r="J9" s="77"/>
      <c r="K9" s="52"/>
      <c r="L9" s="52"/>
      <c r="M9" s="55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15.75" thickBot="1" x14ac:dyDescent="0.3">
      <c r="A10" s="19"/>
      <c r="B10" s="91" t="s">
        <v>7</v>
      </c>
      <c r="C10" s="9"/>
      <c r="D10" s="10"/>
      <c r="E10" s="112">
        <v>65</v>
      </c>
      <c r="F10" s="19"/>
      <c r="G10" s="19"/>
      <c r="H10" s="19"/>
      <c r="I10" s="73" t="s">
        <v>30</v>
      </c>
      <c r="J10" s="77"/>
      <c r="K10" s="52"/>
      <c r="L10" s="52"/>
      <c r="M10" s="55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thickBot="1" x14ac:dyDescent="0.35">
      <c r="A11" s="19"/>
      <c r="B11" s="93" t="s">
        <v>16</v>
      </c>
      <c r="C11" s="15"/>
      <c r="D11" s="16"/>
      <c r="E11" s="113">
        <f>SUM(E8:E10)</f>
        <v>315</v>
      </c>
      <c r="F11" s="19"/>
      <c r="G11" s="19"/>
      <c r="H11" s="19"/>
      <c r="I11" s="73" t="s">
        <v>31</v>
      </c>
      <c r="J11" s="77"/>
      <c r="K11" s="52"/>
      <c r="L11" s="52"/>
      <c r="M11" s="55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thickBot="1" x14ac:dyDescent="0.35">
      <c r="A12" s="19"/>
      <c r="B12" s="94"/>
      <c r="C12" s="63"/>
      <c r="D12" s="64"/>
      <c r="E12" s="114"/>
      <c r="F12" s="19"/>
      <c r="G12" s="19"/>
      <c r="H12" s="19"/>
      <c r="I12" s="73" t="s">
        <v>32</v>
      </c>
      <c r="J12" s="77">
        <v>0.05</v>
      </c>
      <c r="K12" s="52"/>
      <c r="L12" s="52"/>
      <c r="M12" s="55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8" customHeight="1" thickBot="1" x14ac:dyDescent="0.4">
      <c r="A13" s="19"/>
      <c r="B13" s="95" t="s">
        <v>23</v>
      </c>
      <c r="C13" s="61"/>
      <c r="D13" s="62"/>
      <c r="E13" s="115"/>
      <c r="F13" s="19"/>
      <c r="G13" s="19"/>
      <c r="H13" s="19"/>
      <c r="I13" s="73" t="s">
        <v>33</v>
      </c>
      <c r="J13" s="77">
        <v>0.25</v>
      </c>
      <c r="K13" s="52"/>
      <c r="L13" s="52"/>
      <c r="M13" s="55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6.5" thickBot="1" x14ac:dyDescent="0.3">
      <c r="A14" s="19"/>
      <c r="B14" s="96" t="s">
        <v>20</v>
      </c>
      <c r="C14" s="5">
        <v>165</v>
      </c>
      <c r="D14" s="9"/>
      <c r="E14" s="116"/>
      <c r="F14" s="19"/>
      <c r="G14" s="19"/>
      <c r="H14" s="19"/>
      <c r="I14" s="73" t="s">
        <v>34</v>
      </c>
      <c r="J14" s="77">
        <v>0.3</v>
      </c>
      <c r="K14" s="52"/>
      <c r="L14" s="52">
        <v>0.33</v>
      </c>
      <c r="M14" s="55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x14ac:dyDescent="0.25">
      <c r="A15" s="19"/>
      <c r="B15" s="92" t="s">
        <v>74</v>
      </c>
      <c r="C15" s="5">
        <v>60</v>
      </c>
      <c r="D15" s="5">
        <v>5000</v>
      </c>
      <c r="E15" s="117">
        <f>C15*D15/1000</f>
        <v>300</v>
      </c>
      <c r="F15" s="19"/>
      <c r="G15" s="19"/>
      <c r="H15" s="19"/>
      <c r="I15" s="73" t="s">
        <v>44</v>
      </c>
      <c r="J15" s="77">
        <v>0.2</v>
      </c>
      <c r="K15" s="52"/>
      <c r="L15" s="52">
        <v>0.25</v>
      </c>
      <c r="M15" s="55">
        <v>1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x14ac:dyDescent="0.25">
      <c r="A16" s="19"/>
      <c r="B16" s="91" t="s">
        <v>3</v>
      </c>
      <c r="C16" s="6">
        <v>95</v>
      </c>
      <c r="D16" s="6">
        <v>7000</v>
      </c>
      <c r="E16" s="118">
        <f>C16*D16/1000</f>
        <v>665</v>
      </c>
      <c r="F16" s="19"/>
      <c r="G16" s="19"/>
      <c r="H16" s="19"/>
      <c r="I16" s="73" t="s">
        <v>35</v>
      </c>
      <c r="J16" s="77">
        <v>0.1</v>
      </c>
      <c r="K16" s="52"/>
      <c r="L16" s="52">
        <v>0.2</v>
      </c>
      <c r="M16" s="55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5.75" thickBot="1" x14ac:dyDescent="0.3">
      <c r="A17" s="19"/>
      <c r="B17" s="92" t="s">
        <v>7</v>
      </c>
      <c r="C17" s="6">
        <v>10</v>
      </c>
      <c r="D17" s="6">
        <v>3500</v>
      </c>
      <c r="E17" s="119">
        <f>C17*D17/1000</f>
        <v>35</v>
      </c>
      <c r="F17" s="19"/>
      <c r="G17" s="19"/>
      <c r="H17" s="19"/>
      <c r="I17" s="73" t="s">
        <v>61</v>
      </c>
      <c r="J17" s="77">
        <v>0.08</v>
      </c>
      <c r="K17" s="52"/>
      <c r="L17" s="52">
        <v>0.1</v>
      </c>
      <c r="M17" s="55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.75" thickBot="1" x14ac:dyDescent="0.3">
      <c r="A18" s="19"/>
      <c r="B18" s="91" t="s">
        <v>21</v>
      </c>
      <c r="C18" s="14">
        <f>C14-C15-C16-C17</f>
        <v>0</v>
      </c>
      <c r="D18" s="13"/>
      <c r="E18" s="120"/>
      <c r="F18" s="19"/>
      <c r="G18" s="19"/>
      <c r="H18" s="19"/>
      <c r="I18" s="74" t="s">
        <v>37</v>
      </c>
      <c r="J18" s="78">
        <v>0.02</v>
      </c>
      <c r="K18" s="53"/>
      <c r="L18" s="53">
        <v>0.12</v>
      </c>
      <c r="M18" s="56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thickBot="1" x14ac:dyDescent="0.35">
      <c r="A19" s="19"/>
      <c r="B19" s="93" t="s">
        <v>15</v>
      </c>
      <c r="C19" s="17"/>
      <c r="D19" s="4"/>
      <c r="E19" s="113">
        <f>SUM(E15:E18)</f>
        <v>1000</v>
      </c>
      <c r="F19" s="19"/>
      <c r="G19" s="19"/>
      <c r="H19" s="19"/>
      <c r="I19" s="69" t="s">
        <v>18</v>
      </c>
      <c r="J19" s="70">
        <f>SUM(J7:J18)</f>
        <v>1</v>
      </c>
      <c r="K19" s="181">
        <f>SUM(K7:L18)</f>
        <v>1</v>
      </c>
      <c r="L19" s="182"/>
      <c r="M19" s="71">
        <f>SUM(M7:M18)</f>
        <v>1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thickBot="1" x14ac:dyDescent="0.35">
      <c r="A20" s="19"/>
      <c r="B20" s="94"/>
      <c r="C20" s="63"/>
      <c r="D20" s="64"/>
      <c r="E20" s="114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22.5" thickTop="1" thickBot="1" x14ac:dyDescent="0.4">
      <c r="A21" s="19"/>
      <c r="B21" s="162" t="s">
        <v>22</v>
      </c>
      <c r="C21" s="163"/>
      <c r="D21" s="164"/>
      <c r="E21" s="165"/>
      <c r="F21" s="19"/>
      <c r="G21" s="19"/>
      <c r="H21" s="19"/>
      <c r="I21" s="176" t="s">
        <v>77</v>
      </c>
      <c r="J21" s="177"/>
      <c r="K21" s="177"/>
      <c r="L21" s="177"/>
      <c r="M21" s="17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50.25" thickTop="1" thickBot="1" x14ac:dyDescent="0.3">
      <c r="A22" s="19"/>
      <c r="B22" s="92" t="s">
        <v>9</v>
      </c>
      <c r="C22" s="29">
        <v>135</v>
      </c>
      <c r="D22" s="26"/>
      <c r="E22" s="121"/>
      <c r="F22" s="19"/>
      <c r="G22" s="19"/>
      <c r="H22" s="19"/>
      <c r="I22" s="54" t="s">
        <v>58</v>
      </c>
      <c r="J22" s="82" t="s">
        <v>74</v>
      </c>
      <c r="K22" s="82" t="s">
        <v>62</v>
      </c>
      <c r="L22" s="82" t="s">
        <v>59</v>
      </c>
      <c r="M22" s="83" t="s">
        <v>60</v>
      </c>
      <c r="N22" s="131" t="s">
        <v>75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x14ac:dyDescent="0.25">
      <c r="A23" s="19"/>
      <c r="B23" s="92" t="s">
        <v>66</v>
      </c>
      <c r="C23" s="174">
        <v>9500</v>
      </c>
      <c r="D23" s="27"/>
      <c r="E23" s="122"/>
      <c r="F23" s="19"/>
      <c r="G23" s="19"/>
      <c r="H23" s="19"/>
      <c r="I23" s="72" t="s">
        <v>27</v>
      </c>
      <c r="J23" s="140"/>
      <c r="K23" s="141"/>
      <c r="L23" s="141">
        <v>6</v>
      </c>
      <c r="M23" s="142">
        <v>2</v>
      </c>
      <c r="N23" s="135">
        <f>-SUM(Månedsfordeling!B$13:B$15)</f>
        <v>64.8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ht="15.75" thickBot="1" x14ac:dyDescent="0.3">
      <c r="A24" s="19"/>
      <c r="B24" s="91" t="s">
        <v>14</v>
      </c>
      <c r="C24" s="173">
        <v>135</v>
      </c>
      <c r="D24" s="28"/>
      <c r="E24" s="122"/>
      <c r="F24" s="19"/>
      <c r="G24" s="19"/>
      <c r="H24" s="19"/>
      <c r="I24" s="73" t="s">
        <v>28</v>
      </c>
      <c r="J24" s="143"/>
      <c r="K24" s="144"/>
      <c r="L24" s="144">
        <v>6</v>
      </c>
      <c r="M24" s="145">
        <v>2</v>
      </c>
      <c r="N24" s="136">
        <f>-SUM(Månedsfordeling!C$13:C$15)</f>
        <v>66.959999999999994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4.45" x14ac:dyDescent="0.3">
      <c r="A25" s="19"/>
      <c r="B25" s="166"/>
      <c r="C25" s="40"/>
      <c r="D25" s="37"/>
      <c r="E25" s="167"/>
      <c r="F25" s="19"/>
      <c r="G25" s="19"/>
      <c r="H25" s="19"/>
      <c r="I25" s="73" t="s">
        <v>29</v>
      </c>
      <c r="J25" s="143"/>
      <c r="K25" s="144"/>
      <c r="L25" s="144">
        <v>6</v>
      </c>
      <c r="M25" s="145">
        <v>2</v>
      </c>
      <c r="N25" s="136">
        <f>-SUM(Månedsfordeling!D$13:D$15)</f>
        <v>66.959999999999994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x14ac:dyDescent="0.25">
      <c r="A26" s="19"/>
      <c r="B26" s="168" t="s">
        <v>74</v>
      </c>
      <c r="C26" s="160"/>
      <c r="D26" s="160"/>
      <c r="E26" s="158">
        <f>J35</f>
        <v>297.54000000000002</v>
      </c>
      <c r="F26" s="19"/>
      <c r="G26" s="19"/>
      <c r="H26" s="19"/>
      <c r="I26" s="73" t="s">
        <v>30</v>
      </c>
      <c r="J26" s="143"/>
      <c r="K26" s="144"/>
      <c r="L26" s="144">
        <v>6</v>
      </c>
      <c r="M26" s="145">
        <v>2</v>
      </c>
      <c r="N26" s="136">
        <f>-SUM(Månedsfordeling!E$13:E$15)</f>
        <v>60.48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x14ac:dyDescent="0.25">
      <c r="A27" s="19"/>
      <c r="B27" s="169" t="s">
        <v>3</v>
      </c>
      <c r="C27" s="161"/>
      <c r="D27" s="161"/>
      <c r="E27" s="159">
        <f>K35</f>
        <v>372.33</v>
      </c>
      <c r="F27" s="19"/>
      <c r="G27" s="19"/>
      <c r="H27" s="19"/>
      <c r="I27" s="73" t="s">
        <v>31</v>
      </c>
      <c r="J27" s="143"/>
      <c r="K27" s="144"/>
      <c r="L27" s="144">
        <v>6</v>
      </c>
      <c r="M27" s="145">
        <v>2</v>
      </c>
      <c r="N27" s="136">
        <f>-SUM(Månedsfordeling!F$13:F$15)</f>
        <v>66.959999999999994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5.75" thickBot="1" x14ac:dyDescent="0.3">
      <c r="A28" s="19"/>
      <c r="B28" s="168" t="s">
        <v>7</v>
      </c>
      <c r="C28" s="31"/>
      <c r="D28" s="31"/>
      <c r="E28" s="159">
        <f>M35</f>
        <v>118.53</v>
      </c>
      <c r="F28" s="19"/>
      <c r="G28" s="19"/>
      <c r="H28" s="19"/>
      <c r="I28" s="73" t="s">
        <v>32</v>
      </c>
      <c r="J28" s="143">
        <v>2</v>
      </c>
      <c r="K28" s="144"/>
      <c r="L28" s="144">
        <v>4.5</v>
      </c>
      <c r="M28" s="145">
        <v>1.5</v>
      </c>
      <c r="N28" s="136">
        <f>-SUM(Månedsfordeling!G$13:G$15)</f>
        <v>64.800000000000011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thickBot="1" x14ac:dyDescent="0.35">
      <c r="A29" s="19"/>
      <c r="B29" s="170" t="s">
        <v>17</v>
      </c>
      <c r="C29" s="171"/>
      <c r="D29" s="172"/>
      <c r="E29" s="113">
        <f>SUM(E26:E28)</f>
        <v>788.4</v>
      </c>
      <c r="F29" s="19"/>
      <c r="G29" s="19"/>
      <c r="H29" s="19"/>
      <c r="I29" s="73" t="s">
        <v>33</v>
      </c>
      <c r="J29" s="143">
        <v>6</v>
      </c>
      <c r="K29" s="144"/>
      <c r="L29" s="144">
        <v>1.5</v>
      </c>
      <c r="M29" s="145">
        <v>0.5</v>
      </c>
      <c r="N29" s="136">
        <f>-SUM(Månedsfordeling!H$13:H$15)</f>
        <v>66.959999999999994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ht="17.25" thickTop="1" thickBot="1" x14ac:dyDescent="0.3">
      <c r="A30" s="19"/>
      <c r="B30" s="22" t="s">
        <v>8</v>
      </c>
      <c r="C30" s="19"/>
      <c r="D30" s="19"/>
      <c r="E30" s="21"/>
      <c r="F30" s="19"/>
      <c r="G30" s="19"/>
      <c r="H30" s="19"/>
      <c r="I30" s="73" t="s">
        <v>34</v>
      </c>
      <c r="J30" s="143">
        <v>6</v>
      </c>
      <c r="K30" s="144"/>
      <c r="L30" s="144">
        <v>1.5</v>
      </c>
      <c r="M30" s="145">
        <v>0.5</v>
      </c>
      <c r="N30" s="136">
        <f>-SUM(Månedsfordeling!I$13:I$15)</f>
        <v>64.8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5.75" thickTop="1" x14ac:dyDescent="0.25">
      <c r="A31" s="19"/>
      <c r="B31" s="19" t="s">
        <v>74</v>
      </c>
      <c r="C31" s="19"/>
      <c r="D31" s="19"/>
      <c r="E31" s="106">
        <f>E8+E15-E26</f>
        <v>2.4599999999999795</v>
      </c>
      <c r="F31" s="19"/>
      <c r="G31" s="19"/>
      <c r="H31" s="19"/>
      <c r="I31" s="73" t="s">
        <v>44</v>
      </c>
      <c r="J31" s="143">
        <v>6</v>
      </c>
      <c r="K31" s="144"/>
      <c r="L31" s="144">
        <v>1.5</v>
      </c>
      <c r="M31" s="145">
        <v>0.5</v>
      </c>
      <c r="N31" s="136">
        <f>-SUM(Månedsfordeling!J$13:J$15)</f>
        <v>66.959999999999994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ht="15.75" x14ac:dyDescent="0.25">
      <c r="A32" s="19"/>
      <c r="B32" s="19" t="s">
        <v>5</v>
      </c>
      <c r="C32" s="25"/>
      <c r="D32" s="19"/>
      <c r="E32" s="107">
        <f>E9+E16-E27</f>
        <v>542.67000000000007</v>
      </c>
      <c r="F32" s="19"/>
      <c r="G32" s="19"/>
      <c r="H32" s="19"/>
      <c r="I32" s="73" t="s">
        <v>35</v>
      </c>
      <c r="J32" s="143">
        <v>6</v>
      </c>
      <c r="K32" s="144"/>
      <c r="L32" s="144">
        <v>1.5</v>
      </c>
      <c r="M32" s="145">
        <v>0.5</v>
      </c>
      <c r="N32" s="136">
        <f>-SUM(Månedsfordeling!K$13:K$15)</f>
        <v>66.959999999999994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15.75" thickBot="1" x14ac:dyDescent="0.3">
      <c r="A33" s="19"/>
      <c r="B33" s="19" t="s">
        <v>7</v>
      </c>
      <c r="C33" s="19"/>
      <c r="D33" s="19"/>
      <c r="E33" s="108">
        <f>E10+E17-E28</f>
        <v>-18.53</v>
      </c>
      <c r="F33" s="19"/>
      <c r="G33" s="19"/>
      <c r="H33" s="19"/>
      <c r="I33" s="73" t="s">
        <v>61</v>
      </c>
      <c r="J33" s="143">
        <v>6</v>
      </c>
      <c r="K33" s="144"/>
      <c r="L33" s="144">
        <v>1.5</v>
      </c>
      <c r="M33" s="145">
        <v>0.5</v>
      </c>
      <c r="N33" s="136">
        <f>-SUM(Månedsfordeling!L$13:L$15)</f>
        <v>64.8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6.149999999999999" customHeight="1" thickBot="1" x14ac:dyDescent="0.3">
      <c r="A34" s="19"/>
      <c r="B34" s="23" t="s">
        <v>63</v>
      </c>
      <c r="C34" s="19"/>
      <c r="D34" s="19"/>
      <c r="E34" s="109">
        <f>SUM(E31:E33)</f>
        <v>526.60000000000014</v>
      </c>
      <c r="F34" s="19"/>
      <c r="G34" s="19"/>
      <c r="H34" s="19"/>
      <c r="I34" s="74" t="s">
        <v>37</v>
      </c>
      <c r="J34" s="146">
        <v>4</v>
      </c>
      <c r="K34" s="147"/>
      <c r="L34" s="147">
        <v>3.5</v>
      </c>
      <c r="M34" s="148">
        <v>0.5</v>
      </c>
      <c r="N34" s="137">
        <f>-SUM(Månedsfordeling!M$13:M$15)</f>
        <v>66.959999999999994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6.5" thickTop="1" thickBot="1" x14ac:dyDescent="0.3">
      <c r="A35" s="19"/>
      <c r="B35" s="19"/>
      <c r="C35" s="19"/>
      <c r="D35" s="19"/>
      <c r="E35" s="19"/>
      <c r="F35" s="19"/>
      <c r="G35" s="19"/>
      <c r="H35" s="19"/>
      <c r="I35" s="155" t="s">
        <v>79</v>
      </c>
      <c r="J35" s="156">
        <f>-Månedsfordeling!N13</f>
        <v>297.54000000000002</v>
      </c>
      <c r="K35" s="179">
        <f>-Månedsfordeling!N14</f>
        <v>372.33</v>
      </c>
      <c r="L35" s="180"/>
      <c r="M35" s="157">
        <f>-Månedsfordeling!N15</f>
        <v>118.53</v>
      </c>
      <c r="N35" s="175">
        <f>SUM(N23:N34)</f>
        <v>788.4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x14ac:dyDescent="0.25">
      <c r="A36" s="19"/>
      <c r="B36" s="19"/>
      <c r="C36" s="19"/>
      <c r="D36" s="19"/>
      <c r="E36" s="19"/>
      <c r="F36" s="19"/>
      <c r="G36" s="19"/>
      <c r="H36" s="19"/>
      <c r="I36" s="72" t="s">
        <v>27</v>
      </c>
      <c r="J36" s="149">
        <v>0</v>
      </c>
      <c r="K36" s="150"/>
      <c r="L36" s="150">
        <v>6</v>
      </c>
      <c r="M36" s="151">
        <v>2</v>
      </c>
      <c r="N36" s="138">
        <f>-SUM(Månedsfordeling!O$13:O$15)</f>
        <v>64.8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5.75" thickBot="1" x14ac:dyDescent="0.3">
      <c r="A37" s="19"/>
      <c r="B37" s="19"/>
      <c r="C37" s="19"/>
      <c r="D37" s="19"/>
      <c r="E37" s="19"/>
      <c r="F37" s="19"/>
      <c r="G37" s="19"/>
      <c r="H37" s="19"/>
      <c r="I37" s="128" t="s">
        <v>28</v>
      </c>
      <c r="J37" s="152">
        <v>0</v>
      </c>
      <c r="K37" s="153"/>
      <c r="L37" s="153">
        <v>6</v>
      </c>
      <c r="M37" s="154">
        <v>2</v>
      </c>
      <c r="N37" s="139">
        <f>-SUM(Månedsfordeling!P$13:P$15)</f>
        <v>66.959999999999994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hidden="1" thickTop="1" x14ac:dyDescent="0.3">
      <c r="A38" s="19"/>
      <c r="B38" s="23" t="s">
        <v>64</v>
      </c>
      <c r="C38" s="19"/>
      <c r="D38" s="19"/>
      <c r="E38" s="1">
        <f>_xll.RiskOutput()+E11+E19-E26-E27-E28</f>
        <v>526.60000000000014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ht="15.75" thickTop="1" x14ac:dyDescent="0.25">
      <c r="A39" s="19"/>
      <c r="B39" s="2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x14ac:dyDescent="0.25">
      <c r="A40" s="19"/>
      <c r="B40" s="23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39" customHeight="1" x14ac:dyDescent="0.25">
      <c r="A41" s="19"/>
      <c r="B41" s="2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x14ac:dyDescent="0.25">
      <c r="A42" s="19"/>
      <c r="B42" s="23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x14ac:dyDescent="0.25">
      <c r="A43" s="19"/>
      <c r="B43" s="2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x14ac:dyDescent="0.25">
      <c r="A44" s="19"/>
      <c r="B44" s="23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x14ac:dyDescent="0.25">
      <c r="A45" s="19"/>
      <c r="B45" s="23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x14ac:dyDescent="0.25">
      <c r="A46" s="19"/>
      <c r="B46" s="23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x14ac:dyDescent="0.25">
      <c r="A47" s="19"/>
      <c r="B47" s="23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x14ac:dyDescent="0.25">
      <c r="A48" s="19"/>
      <c r="B48" s="23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25">
      <c r="A49" s="19"/>
      <c r="B49" s="23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25">
      <c r="A50" s="19"/>
      <c r="B50" s="23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x14ac:dyDescent="0.25">
      <c r="A51" s="19"/>
      <c r="B51" s="2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x14ac:dyDescent="0.25">
      <c r="A52" s="19"/>
      <c r="B52" s="2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x14ac:dyDescent="0.25">
      <c r="A53" s="19"/>
      <c r="B53" s="23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25">
      <c r="A54" s="19"/>
      <c r="B54" s="23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x14ac:dyDescent="0.25">
      <c r="A55" s="19"/>
      <c r="B55" s="23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25">
      <c r="A56" s="19"/>
      <c r="B56" s="23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x14ac:dyDescent="0.25">
      <c r="A57" s="19"/>
      <c r="B57" s="23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x14ac:dyDescent="0.25">
      <c r="A58" s="19"/>
      <c r="B58" s="23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5.75" thickBot="1" x14ac:dyDescent="0.3">
      <c r="A59" s="19"/>
      <c r="B59" s="23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16.5" thickTop="1" thickBot="1" x14ac:dyDescent="0.3">
      <c r="A60" s="19"/>
      <c r="B60" s="57" t="s">
        <v>53</v>
      </c>
      <c r="C60" s="58"/>
      <c r="D60" s="100" t="s">
        <v>49</v>
      </c>
      <c r="E60" s="101" t="s">
        <v>50</v>
      </c>
      <c r="F60" s="101" t="s">
        <v>51</v>
      </c>
      <c r="G60" s="102" t="s">
        <v>52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x14ac:dyDescent="0.25">
      <c r="A61" s="19"/>
      <c r="B61" s="97" t="s">
        <v>74</v>
      </c>
      <c r="C61" s="43"/>
      <c r="D61" s="45">
        <f>Månedsfordeling!D17</f>
        <v>0</v>
      </c>
      <c r="E61" s="42">
        <f>Månedsfordeling!G17</f>
        <v>-1.1999999999999993</v>
      </c>
      <c r="F61" s="42">
        <f>Månedsfordeling!J17</f>
        <v>74.759999999999991</v>
      </c>
      <c r="G61" s="98">
        <f>Månedsfordeling!M17</f>
        <v>2.4599999999999937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 x14ac:dyDescent="0.25">
      <c r="A62" s="19"/>
      <c r="B62" s="97" t="s">
        <v>47</v>
      </c>
      <c r="C62" s="43"/>
      <c r="D62" s="46">
        <f>Månedsfordeling!D18</f>
        <v>100.96000000000001</v>
      </c>
      <c r="E62" s="44">
        <f>Månedsfordeling!G18</f>
        <v>-31.069999999999993</v>
      </c>
      <c r="F62" s="44">
        <f>Månedsfordeling!J18</f>
        <v>317.37</v>
      </c>
      <c r="G62" s="99">
        <f>Månedsfordeling!M18</f>
        <v>542.67000000000007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15.75" thickBot="1" x14ac:dyDescent="0.3">
      <c r="A63" s="19"/>
      <c r="B63" s="123" t="s">
        <v>40</v>
      </c>
      <c r="C63" s="124"/>
      <c r="D63" s="103">
        <f>Månedsfordeling!D19</f>
        <v>15.320000000000004</v>
      </c>
      <c r="E63" s="104">
        <f>Månedsfordeling!G19</f>
        <v>-28.689999999999991</v>
      </c>
      <c r="F63" s="104">
        <f>Månedsfordeling!J19</f>
        <v>-6.1099999999999897</v>
      </c>
      <c r="G63" s="105">
        <f>Månedsfordeling!M19</f>
        <v>-18.529999999999987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 ht="15.75" thickBot="1" x14ac:dyDescent="0.3">
      <c r="A64" s="19"/>
      <c r="B64" s="59" t="s">
        <v>16</v>
      </c>
      <c r="C64" s="60"/>
      <c r="D64" s="125">
        <f>Månedsfordeling!D20</f>
        <v>116.28000000000002</v>
      </c>
      <c r="E64" s="126">
        <f>Månedsfordeling!G20</f>
        <v>-60.959999999999987</v>
      </c>
      <c r="F64" s="126">
        <f>Månedsfordeling!J20</f>
        <v>386.02</v>
      </c>
      <c r="G64" s="127">
        <f>Månedsfordeling!M20</f>
        <v>526.60000000000014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 ht="8.4499999999999993" customHeight="1" thickTop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 x14ac:dyDescent="0.25">
      <c r="A66" s="19"/>
      <c r="B66" s="65" t="s">
        <v>68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 ht="18.75" x14ac:dyDescent="0.3">
      <c r="A67" s="19"/>
      <c r="B67" s="19" t="s">
        <v>78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8.600000000000001" customHeight="1" x14ac:dyDescent="0.25">
      <c r="A68" s="19"/>
      <c r="B68" s="19"/>
      <c r="C68" s="19"/>
      <c r="D68" s="84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14.4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14.4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14.4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14.4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14.4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14.4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 ht="14.4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ht="14.4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ht="14.4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 ht="14.4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 ht="1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 x14ac:dyDescent="0.25">
      <c r="A80" s="19"/>
      <c r="B80" s="24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 x14ac:dyDescent="0.25">
      <c r="A81" s="19"/>
      <c r="B81" s="24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x14ac:dyDescent="0.25">
      <c r="A82" s="19"/>
      <c r="B82" s="24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x14ac:dyDescent="0.25">
      <c r="A83" s="19"/>
      <c r="B83" s="24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 x14ac:dyDescent="0.25">
      <c r="A84" s="19"/>
      <c r="B84" s="24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 x14ac:dyDescent="0.25">
      <c r="A85" s="19"/>
      <c r="B85" s="24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 x14ac:dyDescent="0.25">
      <c r="A86" s="19"/>
      <c r="B86" s="24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 x14ac:dyDescent="0.25">
      <c r="A87" s="19"/>
      <c r="B87" s="24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 x14ac:dyDescent="0.25">
      <c r="A88" s="19"/>
      <c r="B88" s="24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 x14ac:dyDescent="0.25">
      <c r="A89" s="19"/>
      <c r="B89" s="24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  <row r="101" spans="1:24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</row>
    <row r="102" spans="1:24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</sheetData>
  <mergeCells count="4">
    <mergeCell ref="I21:M21"/>
    <mergeCell ref="I5:M5"/>
    <mergeCell ref="K35:L35"/>
    <mergeCell ref="K19:L19"/>
  </mergeCells>
  <conditionalFormatting sqref="E31 D61:G61 E62:G63">
    <cfRule type="expression" dxfId="38" priority="28" stopIfTrue="1">
      <formula>RiskIsOutput</formula>
    </cfRule>
  </conditionalFormatting>
  <conditionalFormatting sqref="B31">
    <cfRule type="expression" dxfId="37" priority="26" stopIfTrue="1">
      <formula>IF(RiskSelectedNameCell1=CELL("address",$B$31),TRUE)</formula>
    </cfRule>
  </conditionalFormatting>
  <conditionalFormatting sqref="E32">
    <cfRule type="expression" dxfId="36" priority="32" stopIfTrue="1">
      <formula>RiskIsOutput</formula>
    </cfRule>
  </conditionalFormatting>
  <conditionalFormatting sqref="B32">
    <cfRule type="expression" dxfId="35" priority="30" stopIfTrue="1">
      <formula>IF(RiskSelectedNameCell1=CELL("address",$B$32),TRUE)</formula>
    </cfRule>
  </conditionalFormatting>
  <conditionalFormatting sqref="E33">
    <cfRule type="expression" dxfId="34" priority="36" stopIfTrue="1">
      <formula>RiskIsOutput</formula>
    </cfRule>
  </conditionalFormatting>
  <conditionalFormatting sqref="B33">
    <cfRule type="expression" dxfId="33" priority="34" stopIfTrue="1">
      <formula>IF(RiskSelectedNameCell1=CELL("address",$B$33),TRUE)</formula>
    </cfRule>
  </conditionalFormatting>
  <conditionalFormatting sqref="E34">
    <cfRule type="expression" dxfId="32" priority="39" stopIfTrue="1">
      <formula>RiskIsOutput</formula>
    </cfRule>
  </conditionalFormatting>
  <conditionalFormatting sqref="B11">
    <cfRule type="expression" dxfId="31" priority="41" stopIfTrue="1">
      <formula>IF(RiskSelectedNameCell1=CELL("address",$B$11),TRUE)</formula>
    </cfRule>
  </conditionalFormatting>
  <conditionalFormatting sqref="B19">
    <cfRule type="expression" dxfId="30" priority="45" stopIfTrue="1">
      <formula>IF(RiskSelectedNameCell1=CELL("address",$B$19),TRUE)</formula>
    </cfRule>
  </conditionalFormatting>
  <conditionalFormatting sqref="E38">
    <cfRule type="expression" dxfId="29" priority="55" stopIfTrue="1">
      <formula>RiskIsOutput</formula>
    </cfRule>
  </conditionalFormatting>
  <conditionalFormatting sqref="D64">
    <cfRule type="expression" dxfId="28" priority="59" stopIfTrue="1">
      <formula>RiskIsOutput</formula>
    </cfRule>
  </conditionalFormatting>
  <conditionalFormatting sqref="E64">
    <cfRule type="expression" dxfId="27" priority="63" stopIfTrue="1">
      <formula>RiskIsOutput</formula>
    </cfRule>
  </conditionalFormatting>
  <conditionalFormatting sqref="F64">
    <cfRule type="expression" dxfId="26" priority="67" stopIfTrue="1">
      <formula>RiskIsOutput</formula>
    </cfRule>
  </conditionalFormatting>
  <conditionalFormatting sqref="G64">
    <cfRule type="expression" dxfId="25" priority="71" stopIfTrue="1">
      <formula>RiskIsOutput</formula>
    </cfRule>
  </conditionalFormatting>
  <conditionalFormatting sqref="D62">
    <cfRule type="expression" dxfId="24" priority="79" stopIfTrue="1">
      <formula>RiskIsOutput</formula>
    </cfRule>
  </conditionalFormatting>
  <conditionalFormatting sqref="D63">
    <cfRule type="expression" dxfId="23" priority="83" stopIfTrue="1">
      <formula>RiskIsOutput</formula>
    </cfRule>
  </conditionalFormatting>
  <conditionalFormatting sqref="J19 J35">
    <cfRule type="expression" dxfId="22" priority="15">
      <formula>$J$19&lt;1</formula>
    </cfRule>
    <cfRule type="expression" dxfId="21" priority="16">
      <formula>$J$19&gt;1</formula>
    </cfRule>
  </conditionalFormatting>
  <conditionalFormatting sqref="K19">
    <cfRule type="expression" dxfId="20" priority="13">
      <formula>$K$19&lt;1</formula>
    </cfRule>
    <cfRule type="expression" dxfId="19" priority="14">
      <formula>$K$19&gt;1</formula>
    </cfRule>
  </conditionalFormatting>
  <conditionalFormatting sqref="M19 M35">
    <cfRule type="expression" dxfId="18" priority="11">
      <formula>$M$19&lt;1</formula>
    </cfRule>
    <cfRule type="expression" dxfId="17" priority="12">
      <formula>$M$19&gt;1</formula>
    </cfRule>
  </conditionalFormatting>
  <conditionalFormatting sqref="K35">
    <cfRule type="expression" dxfId="16" priority="1">
      <formula>$K$19&lt;1</formula>
    </cfRule>
    <cfRule type="expression" dxfId="15" priority="2">
      <formula>$K$19&gt;1</formula>
    </cfRule>
  </conditionalFormatting>
  <pageMargins left="0.7" right="0.7" top="0.75" bottom="0.75" header="0.3" footer="0.3"/>
  <pageSetup paperSize="8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S31"/>
  <sheetViews>
    <sheetView zoomScaleNormal="100" workbookViewId="0">
      <selection activeCell="A6" sqref="A6"/>
    </sheetView>
  </sheetViews>
  <sheetFormatPr defaultRowHeight="15" x14ac:dyDescent="0.25"/>
  <cols>
    <col min="1" max="1" width="27.85546875" customWidth="1"/>
    <col min="2" max="2" width="10.85546875" bestFit="1" customWidth="1"/>
    <col min="3" max="13" width="9.140625" bestFit="1" customWidth="1"/>
    <col min="14" max="14" width="9.5703125" bestFit="1" customWidth="1"/>
    <col min="15" max="18" width="9.7109375" customWidth="1"/>
  </cols>
  <sheetData>
    <row r="3" spans="1:19" thickBot="1" x14ac:dyDescent="0.35">
      <c r="B3" s="34" t="s">
        <v>27</v>
      </c>
      <c r="C3" s="34" t="s">
        <v>28</v>
      </c>
      <c r="D3" s="34" t="s">
        <v>29</v>
      </c>
      <c r="E3" s="34" t="s">
        <v>30</v>
      </c>
      <c r="F3" s="34" t="s">
        <v>31</v>
      </c>
      <c r="G3" s="34" t="s">
        <v>32</v>
      </c>
      <c r="H3" s="34" t="s">
        <v>33</v>
      </c>
      <c r="I3" s="34" t="s">
        <v>34</v>
      </c>
      <c r="J3" s="34" t="s">
        <v>44</v>
      </c>
      <c r="K3" s="34" t="s">
        <v>35</v>
      </c>
      <c r="L3" s="34" t="s">
        <v>36</v>
      </c>
      <c r="M3" s="34" t="s">
        <v>37</v>
      </c>
      <c r="N3" s="34" t="s">
        <v>18</v>
      </c>
    </row>
    <row r="4" spans="1:19" ht="14.45" x14ac:dyDescent="0.3">
      <c r="A4" s="3" t="s">
        <v>46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9" x14ac:dyDescent="0.25">
      <c r="A5" s="3" t="s">
        <v>74</v>
      </c>
      <c r="B5" s="32">
        <f>Beregning!E8</f>
        <v>0</v>
      </c>
      <c r="C5" s="32">
        <f>B17</f>
        <v>0</v>
      </c>
      <c r="D5" s="32">
        <f t="shared" ref="D5:M5" si="0">C17</f>
        <v>0</v>
      </c>
      <c r="E5" s="32">
        <f t="shared" si="0"/>
        <v>0</v>
      </c>
      <c r="F5" s="32">
        <f t="shared" si="0"/>
        <v>0</v>
      </c>
      <c r="G5" s="32">
        <f t="shared" si="0"/>
        <v>0</v>
      </c>
      <c r="H5" s="32">
        <f t="shared" si="0"/>
        <v>-1.1999999999999993</v>
      </c>
      <c r="I5" s="32">
        <f t="shared" si="0"/>
        <v>23.58</v>
      </c>
      <c r="J5" s="32">
        <f t="shared" si="0"/>
        <v>64.97999999999999</v>
      </c>
      <c r="K5" s="32">
        <f t="shared" si="0"/>
        <v>74.759999999999991</v>
      </c>
      <c r="L5" s="32">
        <f t="shared" si="0"/>
        <v>54.539999999999992</v>
      </c>
      <c r="M5" s="32">
        <f t="shared" si="0"/>
        <v>29.939999999999991</v>
      </c>
      <c r="N5" s="32"/>
    </row>
    <row r="6" spans="1:19" x14ac:dyDescent="0.25">
      <c r="A6" s="3" t="s">
        <v>47</v>
      </c>
      <c r="B6" s="32">
        <f>Beregning!E9</f>
        <v>250</v>
      </c>
      <c r="C6" s="32">
        <f>B18</f>
        <v>201.4</v>
      </c>
      <c r="D6" s="32">
        <f t="shared" ref="D6:M7" si="1">C18</f>
        <v>151.18</v>
      </c>
      <c r="E6" s="32">
        <f t="shared" si="1"/>
        <v>100.96000000000001</v>
      </c>
      <c r="F6" s="32">
        <f t="shared" si="1"/>
        <v>55.600000000000009</v>
      </c>
      <c r="G6" s="32">
        <f t="shared" si="1"/>
        <v>5.3800000000000097</v>
      </c>
      <c r="H6" s="32">
        <f t="shared" si="1"/>
        <v>-31.069999999999993</v>
      </c>
      <c r="I6" s="32">
        <f t="shared" si="1"/>
        <v>-43.624999999999993</v>
      </c>
      <c r="J6" s="32">
        <f t="shared" si="1"/>
        <v>163.67500000000001</v>
      </c>
      <c r="K6" s="32">
        <f t="shared" si="1"/>
        <v>317.37</v>
      </c>
      <c r="L6" s="32">
        <f t="shared" si="1"/>
        <v>437.815</v>
      </c>
      <c r="M6" s="32">
        <f t="shared" si="1"/>
        <v>492.16500000000002</v>
      </c>
      <c r="N6" s="32"/>
    </row>
    <row r="7" spans="1:19" x14ac:dyDescent="0.25">
      <c r="A7" s="3" t="s">
        <v>40</v>
      </c>
      <c r="B7" s="32">
        <f>Beregning!E10</f>
        <v>65</v>
      </c>
      <c r="C7" s="32">
        <f>B19</f>
        <v>48.8</v>
      </c>
      <c r="D7" s="32">
        <f t="shared" si="1"/>
        <v>32.06</v>
      </c>
      <c r="E7" s="32">
        <f t="shared" si="1"/>
        <v>15.320000000000004</v>
      </c>
      <c r="F7" s="32">
        <f t="shared" si="1"/>
        <v>0.20000000000000462</v>
      </c>
      <c r="G7" s="32">
        <f t="shared" si="1"/>
        <v>-16.539999999999992</v>
      </c>
      <c r="H7" s="32">
        <f t="shared" si="1"/>
        <v>-28.689999999999991</v>
      </c>
      <c r="I7" s="32">
        <f t="shared" si="1"/>
        <v>-32.874999999999993</v>
      </c>
      <c r="J7" s="32">
        <f t="shared" si="1"/>
        <v>-36.92499999999999</v>
      </c>
      <c r="K7" s="32">
        <f t="shared" si="1"/>
        <v>-6.1099999999999897</v>
      </c>
      <c r="L7" s="32">
        <f t="shared" si="1"/>
        <v>-10.294999999999989</v>
      </c>
      <c r="M7" s="32">
        <f t="shared" si="1"/>
        <v>-14.344999999999988</v>
      </c>
      <c r="N7" s="32"/>
    </row>
    <row r="8" spans="1:19" ht="21" customHeight="1" x14ac:dyDescent="0.25">
      <c r="A8" s="36" t="s">
        <v>41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9" ht="14.45" x14ac:dyDescent="0.3">
      <c r="A9" s="37" t="s">
        <v>24</v>
      </c>
      <c r="B9" s="31">
        <f t="shared" ref="B9:M9" si="2">$N9*B24</f>
        <v>0</v>
      </c>
      <c r="C9" s="31">
        <f t="shared" si="2"/>
        <v>0</v>
      </c>
      <c r="D9" s="31">
        <f t="shared" si="2"/>
        <v>0</v>
      </c>
      <c r="E9" s="31">
        <f t="shared" si="2"/>
        <v>0</v>
      </c>
      <c r="F9" s="31">
        <f t="shared" si="2"/>
        <v>0</v>
      </c>
      <c r="G9" s="31">
        <f t="shared" si="2"/>
        <v>15</v>
      </c>
      <c r="H9" s="31">
        <f t="shared" si="2"/>
        <v>75</v>
      </c>
      <c r="I9" s="31">
        <f t="shared" si="2"/>
        <v>90</v>
      </c>
      <c r="J9" s="31">
        <f t="shared" si="2"/>
        <v>60</v>
      </c>
      <c r="K9" s="31">
        <f t="shared" si="2"/>
        <v>30</v>
      </c>
      <c r="L9" s="31">
        <f>$N9*L24</f>
        <v>24</v>
      </c>
      <c r="M9" s="31">
        <f t="shared" si="2"/>
        <v>6</v>
      </c>
      <c r="N9" s="31">
        <f>Beregning!E15</f>
        <v>300</v>
      </c>
    </row>
    <row r="10" spans="1:19" x14ac:dyDescent="0.25">
      <c r="A10" s="37" t="s">
        <v>43</v>
      </c>
      <c r="B10" s="31">
        <f>($N10*B25)+($N10*B26)</f>
        <v>0</v>
      </c>
      <c r="C10" s="31">
        <f>($N10*C25)+($N10*C26)</f>
        <v>0</v>
      </c>
      <c r="D10" s="31">
        <f>($N10*D25)+($N10*D26)</f>
        <v>0</v>
      </c>
      <c r="E10" s="31">
        <f t="shared" ref="E10:M10" si="3">($N10*E25)+($N10*E26)</f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219.45000000000002</v>
      </c>
      <c r="J10" s="31">
        <f t="shared" si="3"/>
        <v>166.25</v>
      </c>
      <c r="K10" s="31">
        <f t="shared" si="3"/>
        <v>133</v>
      </c>
      <c r="L10" s="31">
        <f t="shared" si="3"/>
        <v>66.5</v>
      </c>
      <c r="M10" s="31">
        <f t="shared" si="3"/>
        <v>79.8</v>
      </c>
      <c r="N10" s="31">
        <f>Beregning!E16</f>
        <v>665</v>
      </c>
      <c r="O10" s="49"/>
      <c r="P10" s="49"/>
      <c r="Q10" s="185" t="s">
        <v>55</v>
      </c>
      <c r="R10" s="185" t="s">
        <v>57</v>
      </c>
    </row>
    <row r="11" spans="1:19" x14ac:dyDescent="0.25">
      <c r="A11" s="37" t="s">
        <v>39</v>
      </c>
      <c r="B11" s="31">
        <f>$N11*B27</f>
        <v>0</v>
      </c>
      <c r="C11" s="31">
        <f>$N11*C27</f>
        <v>0</v>
      </c>
      <c r="D11" s="31">
        <f t="shared" ref="D11:M11" si="4">$N11*D27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0</v>
      </c>
      <c r="J11" s="31">
        <f t="shared" si="4"/>
        <v>35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31">
        <f>Beregning!E17</f>
        <v>35</v>
      </c>
      <c r="O11" s="183" t="s">
        <v>56</v>
      </c>
      <c r="P11" s="184"/>
      <c r="Q11" s="185"/>
      <c r="R11" s="185"/>
    </row>
    <row r="12" spans="1:19" x14ac:dyDescent="0.25">
      <c r="A12" s="36" t="s">
        <v>38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29" t="s">
        <v>27</v>
      </c>
      <c r="P12" s="129" t="s">
        <v>28</v>
      </c>
      <c r="Q12" s="186"/>
      <c r="R12" s="186"/>
    </row>
    <row r="13" spans="1:19" x14ac:dyDescent="0.25">
      <c r="A13" s="37" t="s">
        <v>74</v>
      </c>
      <c r="B13" s="31">
        <f>-Beregning!$J23*(Beregning!$C22+Beregning!$C24)*30/1000</f>
        <v>0</v>
      </c>
      <c r="C13" s="31">
        <f>-Beregning!$J24*(Beregning!$C22+Beregning!$C24)*31/1000</f>
        <v>0</v>
      </c>
      <c r="D13" s="31">
        <f>-Beregning!$J25*(Beregning!$C22+Beregning!$C24)*31/1000</f>
        <v>0</v>
      </c>
      <c r="E13" s="31">
        <f>-Beregning!$J26*(Beregning!$C22+Beregning!$C24)*28/1000</f>
        <v>0</v>
      </c>
      <c r="F13" s="31">
        <f>-Beregning!$J27*(Beregning!$C22+Beregning!$C24)*31/1000</f>
        <v>0</v>
      </c>
      <c r="G13" s="31">
        <f>-Beregning!$J28*(Beregning!$C22+Beregning!$C24)*30/1000</f>
        <v>-16.2</v>
      </c>
      <c r="H13" s="31">
        <f>-Beregning!$J29*(Beregning!$C22+Beregning!$C24)*31/1000</f>
        <v>-50.22</v>
      </c>
      <c r="I13" s="31">
        <f>-Beregning!$J30*(Beregning!$C22+Beregning!$C24)*30/1000</f>
        <v>-48.6</v>
      </c>
      <c r="J13" s="31">
        <f>-Beregning!$J31*(Beregning!$C22+Beregning!$C24)*31/1000</f>
        <v>-50.22</v>
      </c>
      <c r="K13" s="31">
        <f>-Beregning!$J32*(Beregning!$C22+Beregning!$C24)*31/1000</f>
        <v>-50.22</v>
      </c>
      <c r="L13" s="31">
        <f>-Beregning!$J33*(Beregning!$C22+Beregning!$C24)*30/1000</f>
        <v>-48.6</v>
      </c>
      <c r="M13" s="31">
        <f>-Beregning!$J34*(Beregning!$C22+Beregning!$C24)*31/1000</f>
        <v>-33.479999999999997</v>
      </c>
      <c r="N13" s="31">
        <f>SUM(B13:M13)</f>
        <v>-297.54000000000002</v>
      </c>
      <c r="O13" s="67">
        <f>-Beregning!J36*(Beregning!C22+Beregning!C24)*30/1000</f>
        <v>0</v>
      </c>
      <c r="P13" s="67">
        <f>-Beregning!J37*(Beregning!C22+Beregning!C24)*31/1000</f>
        <v>0</v>
      </c>
      <c r="Q13" s="67">
        <f>M17+O13+P13</f>
        <v>2.4599999999999937</v>
      </c>
      <c r="R13" s="37"/>
    </row>
    <row r="14" spans="1:19" ht="15.75" thickBot="1" x14ac:dyDescent="0.3">
      <c r="A14" s="37" t="s">
        <v>3</v>
      </c>
      <c r="B14" s="31">
        <f>-(Beregning!$K23+Beregning!$L23)*(Beregning!$C22+Beregning!$C24)*30/1000</f>
        <v>-48.6</v>
      </c>
      <c r="C14" s="31">
        <f>-(Beregning!$K24+Beregning!$L24)*(Beregning!$C22+Beregning!$C24)*31/1000</f>
        <v>-50.22</v>
      </c>
      <c r="D14" s="31">
        <f>-(Beregning!$K25+Beregning!$L25)*(Beregning!$C22+Beregning!$C24)*31/1000</f>
        <v>-50.22</v>
      </c>
      <c r="E14" s="31">
        <f>-(Beregning!$K26+Beregning!$L26)*(Beregning!$C22+Beregning!$C24)*28/1000</f>
        <v>-45.36</v>
      </c>
      <c r="F14" s="31">
        <f>-(Beregning!$K27+Beregning!$L27)*(Beregning!$C22+Beregning!$C24)*31/1000</f>
        <v>-50.22</v>
      </c>
      <c r="G14" s="31">
        <f>-(Beregning!$K28+Beregning!$L28)*(Beregning!$C22+Beregning!$C24)*30/1000</f>
        <v>-36.450000000000003</v>
      </c>
      <c r="H14" s="31">
        <f>-(Beregning!$K29+Beregning!$L29)*(Beregning!$C22+Beregning!$C24)*31/1000</f>
        <v>-12.555</v>
      </c>
      <c r="I14" s="31">
        <f>-(Beregning!$K30+Beregning!$L30)*(Beregning!$C22+Beregning!$C24)*30/1000</f>
        <v>-12.15</v>
      </c>
      <c r="J14" s="31">
        <f>-(Beregning!$K31+Beregning!$L31)*(Beregning!$C22+Beregning!$C24)*31/1000</f>
        <v>-12.555</v>
      </c>
      <c r="K14" s="31">
        <f>-(Beregning!$K32+Beregning!$L32)*(Beregning!$C22+Beregning!$C24)*31/1000</f>
        <v>-12.555</v>
      </c>
      <c r="L14" s="31">
        <f>-(Beregning!$K33+Beregning!$L33)*(Beregning!$C22+Beregning!$C24)*30/1000</f>
        <v>-12.15</v>
      </c>
      <c r="M14" s="31">
        <f>-(Beregning!$K34+Beregning!$L34)*(Beregning!$C22+Beregning!$C24)*31/1000</f>
        <v>-29.295000000000002</v>
      </c>
      <c r="N14" s="31">
        <f>SUM(B14:M14)</f>
        <v>-372.33</v>
      </c>
      <c r="O14" s="67">
        <f>-(Beregning!K36+Beregning!L36)*(Beregning!C22+Beregning!C24)*30/1000</f>
        <v>-48.6</v>
      </c>
      <c r="P14" s="67">
        <f>-(Beregning!K37+Beregning!L37)*(Beregning!C22+Beregning!C24)*31/1000</f>
        <v>-50.22</v>
      </c>
      <c r="Q14" s="67">
        <f>M18+O14+P14</f>
        <v>443.85</v>
      </c>
      <c r="R14" s="37"/>
    </row>
    <row r="15" spans="1:19" ht="15.75" thickBot="1" x14ac:dyDescent="0.3">
      <c r="A15" s="39" t="s">
        <v>40</v>
      </c>
      <c r="B15" s="33">
        <f>-Beregning!$M23*(Beregning!$C22+Beregning!$C24)*30/1000</f>
        <v>-16.2</v>
      </c>
      <c r="C15" s="33">
        <f>-Beregning!$M24*(Beregning!$C22+Beregning!$C24)*31/1000</f>
        <v>-16.739999999999998</v>
      </c>
      <c r="D15" s="33">
        <f>-Beregning!$M25*(Beregning!$C22+Beregning!$C24)*31/1000</f>
        <v>-16.739999999999998</v>
      </c>
      <c r="E15" s="33">
        <f>-Beregning!$M26*(Beregning!$C22+Beregning!$C24)*28/1000</f>
        <v>-15.12</v>
      </c>
      <c r="F15" s="33">
        <f>-Beregning!$M27*(Beregning!$C22+Beregning!$C24)*31/1000</f>
        <v>-16.739999999999998</v>
      </c>
      <c r="G15" s="33">
        <f>-Beregning!$M28*(Beregning!$C22+Beregning!$C24)*30/1000</f>
        <v>-12.15</v>
      </c>
      <c r="H15" s="33">
        <f>-Beregning!$M29*(Beregning!$C22+Beregning!$C24)*31/1000</f>
        <v>-4.1849999999999996</v>
      </c>
      <c r="I15" s="33">
        <f>-Beregning!$M30*(Beregning!$C22+Beregning!$C24)*30/1000</f>
        <v>-4.05</v>
      </c>
      <c r="J15" s="33">
        <f>-Beregning!$M31*(Beregning!$C22+Beregning!$C24)*31/1000</f>
        <v>-4.1849999999999996</v>
      </c>
      <c r="K15" s="33">
        <f>-Beregning!$M32*(Beregning!$C22+Beregning!$C24)*31/1000</f>
        <v>-4.1849999999999996</v>
      </c>
      <c r="L15" s="33">
        <f>-Beregning!$M33*(Beregning!$C22+Beregning!$C24)*30/1000</f>
        <v>-4.05</v>
      </c>
      <c r="M15" s="33">
        <f>-Beregning!$M34*(Beregning!$C22+Beregning!$C24)*31/1000</f>
        <v>-4.1849999999999996</v>
      </c>
      <c r="N15" s="33">
        <f>SUM(B15:M15)</f>
        <v>-118.53</v>
      </c>
      <c r="O15" s="130">
        <f>-Beregning!M36*(Beregning!C22+Beregning!C24)*30/1000</f>
        <v>-16.2</v>
      </c>
      <c r="P15" s="130">
        <f>-Beregning!M37*(Beregning!C22+Beregning!C24)*31/1000</f>
        <v>-16.739999999999998</v>
      </c>
      <c r="Q15" s="130">
        <f>M19+O15+P15</f>
        <v>-51.469999999999985</v>
      </c>
      <c r="R15" s="132"/>
      <c r="S15" s="133" t="s">
        <v>76</v>
      </c>
    </row>
    <row r="16" spans="1:19" ht="21" customHeight="1" thickBot="1" x14ac:dyDescent="0.35">
      <c r="A16" s="38" t="s">
        <v>48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66" t="s">
        <v>27</v>
      </c>
      <c r="O16" s="47">
        <f>SUM(O13:O15)</f>
        <v>-64.8</v>
      </c>
      <c r="P16" s="47">
        <f t="shared" ref="P16" si="5">SUM(P13:P15)</f>
        <v>-66.959999999999994</v>
      </c>
      <c r="Q16" s="47">
        <f>SUM(Q13:Q15)</f>
        <v>394.84000000000003</v>
      </c>
      <c r="R16" s="48">
        <f>Beregning!C22*Beregning!C23*S16/1000</f>
        <v>256.5</v>
      </c>
      <c r="S16" s="134">
        <v>0.2</v>
      </c>
    </row>
    <row r="17" spans="1:17" ht="14.45" x14ac:dyDescent="0.3">
      <c r="A17" s="36"/>
      <c r="B17" s="32">
        <f>B5+B9+B13</f>
        <v>0</v>
      </c>
      <c r="C17" s="32">
        <f t="shared" ref="C17:L17" si="6">C5+C9+C13</f>
        <v>0</v>
      </c>
      <c r="D17" s="32">
        <f t="shared" si="6"/>
        <v>0</v>
      </c>
      <c r="E17" s="32">
        <f t="shared" si="6"/>
        <v>0</v>
      </c>
      <c r="F17" s="32">
        <f t="shared" si="6"/>
        <v>0</v>
      </c>
      <c r="G17" s="32">
        <f t="shared" si="6"/>
        <v>-1.1999999999999993</v>
      </c>
      <c r="H17" s="32">
        <f>H5+H9+H13</f>
        <v>23.58</v>
      </c>
      <c r="I17" s="32">
        <f t="shared" si="6"/>
        <v>64.97999999999999</v>
      </c>
      <c r="J17" s="32">
        <f t="shared" si="6"/>
        <v>74.759999999999991</v>
      </c>
      <c r="K17" s="32">
        <f t="shared" si="6"/>
        <v>54.539999999999992</v>
      </c>
      <c r="L17" s="32">
        <f t="shared" si="6"/>
        <v>29.939999999999991</v>
      </c>
      <c r="M17" s="32">
        <f>M5+M9+M13</f>
        <v>2.4599999999999937</v>
      </c>
      <c r="N17" s="32">
        <f>M17+O13</f>
        <v>2.4599999999999937</v>
      </c>
      <c r="P17" s="51">
        <f>N17+P13</f>
        <v>2.4599999999999937</v>
      </c>
      <c r="Q17" s="40"/>
    </row>
    <row r="18" spans="1:17" ht="14.45" x14ac:dyDescent="0.3">
      <c r="A18" s="36"/>
      <c r="B18" s="32">
        <f>B6+B10+B14</f>
        <v>201.4</v>
      </c>
      <c r="C18" s="32">
        <f t="shared" ref="C18:M18" si="7">C6+C10+C14</f>
        <v>151.18</v>
      </c>
      <c r="D18" s="32">
        <f t="shared" si="7"/>
        <v>100.96000000000001</v>
      </c>
      <c r="E18" s="32">
        <f t="shared" si="7"/>
        <v>55.600000000000009</v>
      </c>
      <c r="F18" s="32">
        <f t="shared" si="7"/>
        <v>5.3800000000000097</v>
      </c>
      <c r="G18" s="32">
        <f t="shared" si="7"/>
        <v>-31.069999999999993</v>
      </c>
      <c r="H18" s="32">
        <f t="shared" si="7"/>
        <v>-43.624999999999993</v>
      </c>
      <c r="I18" s="32">
        <f t="shared" si="7"/>
        <v>163.67500000000001</v>
      </c>
      <c r="J18" s="32">
        <f t="shared" si="7"/>
        <v>317.37</v>
      </c>
      <c r="K18" s="32">
        <f t="shared" si="7"/>
        <v>437.815</v>
      </c>
      <c r="L18" s="32">
        <f t="shared" si="7"/>
        <v>492.16500000000002</v>
      </c>
      <c r="M18" s="32">
        <f t="shared" si="7"/>
        <v>542.67000000000007</v>
      </c>
      <c r="N18" s="32">
        <f>M18+O14</f>
        <v>494.07000000000005</v>
      </c>
      <c r="P18" s="67">
        <f>N18+P14</f>
        <v>443.85</v>
      </c>
      <c r="Q18" s="37"/>
    </row>
    <row r="19" spans="1:17" ht="14.45" x14ac:dyDescent="0.3">
      <c r="A19" s="36"/>
      <c r="B19" s="32">
        <f>B7+B11+B15</f>
        <v>48.8</v>
      </c>
      <c r="C19" s="32">
        <f t="shared" ref="C19:M19" si="8">C7+C11+C15</f>
        <v>32.06</v>
      </c>
      <c r="D19" s="32">
        <f t="shared" si="8"/>
        <v>15.320000000000004</v>
      </c>
      <c r="E19" s="32">
        <f t="shared" si="8"/>
        <v>0.20000000000000462</v>
      </c>
      <c r="F19" s="32">
        <f t="shared" si="8"/>
        <v>-16.539999999999992</v>
      </c>
      <c r="G19" s="32">
        <f t="shared" si="8"/>
        <v>-28.689999999999991</v>
      </c>
      <c r="H19" s="32">
        <f t="shared" si="8"/>
        <v>-32.874999999999993</v>
      </c>
      <c r="I19" s="32">
        <f t="shared" si="8"/>
        <v>-36.92499999999999</v>
      </c>
      <c r="J19" s="32">
        <f t="shared" si="8"/>
        <v>-6.1099999999999897</v>
      </c>
      <c r="K19" s="32">
        <f t="shared" si="8"/>
        <v>-10.294999999999989</v>
      </c>
      <c r="L19" s="32">
        <f t="shared" si="8"/>
        <v>-14.344999999999988</v>
      </c>
      <c r="M19" s="32">
        <f t="shared" si="8"/>
        <v>-18.529999999999987</v>
      </c>
      <c r="N19" s="32">
        <f>M19+O15</f>
        <v>-34.72999999999999</v>
      </c>
      <c r="P19" s="67">
        <f>N19+P15</f>
        <v>-51.469999999999985</v>
      </c>
      <c r="Q19" s="37" t="s">
        <v>72</v>
      </c>
    </row>
    <row r="20" spans="1:17" ht="14.45" x14ac:dyDescent="0.3">
      <c r="A20" s="36"/>
      <c r="B20" s="41">
        <f>SUM(B17:B19)</f>
        <v>250.2</v>
      </c>
      <c r="C20" s="41">
        <f t="shared" ref="C20:M20" si="9">SUM(C17:C19)</f>
        <v>183.24</v>
      </c>
      <c r="D20" s="41">
        <f t="shared" si="9"/>
        <v>116.28000000000002</v>
      </c>
      <c r="E20" s="41">
        <f t="shared" si="9"/>
        <v>55.800000000000011</v>
      </c>
      <c r="F20" s="41">
        <f t="shared" si="9"/>
        <v>-11.159999999999982</v>
      </c>
      <c r="G20" s="41">
        <f t="shared" si="9"/>
        <v>-60.959999999999987</v>
      </c>
      <c r="H20" s="41">
        <f t="shared" si="9"/>
        <v>-52.919999999999987</v>
      </c>
      <c r="I20" s="41">
        <f t="shared" si="9"/>
        <v>191.73000000000002</v>
      </c>
      <c r="J20" s="41">
        <f t="shared" si="9"/>
        <v>386.02</v>
      </c>
      <c r="K20" s="41">
        <f t="shared" si="9"/>
        <v>482.06</v>
      </c>
      <c r="L20" s="41">
        <f t="shared" si="9"/>
        <v>507.76000000000005</v>
      </c>
      <c r="M20" s="41">
        <f t="shared" si="9"/>
        <v>526.60000000000014</v>
      </c>
      <c r="N20" s="41">
        <f>SUM(N17:N19)</f>
        <v>461.80000000000007</v>
      </c>
      <c r="P20" s="68">
        <f>N20+P16</f>
        <v>394.84000000000009</v>
      </c>
      <c r="Q20" s="68">
        <f>R16</f>
        <v>256.5</v>
      </c>
    </row>
    <row r="21" spans="1:17" ht="14.45" x14ac:dyDescent="0.3">
      <c r="A21" t="s">
        <v>18</v>
      </c>
    </row>
    <row r="22" spans="1:17" ht="14.45" x14ac:dyDescent="0.3">
      <c r="A22" s="3" t="s">
        <v>42</v>
      </c>
    </row>
    <row r="23" spans="1:17" ht="19.5" thickBot="1" x14ac:dyDescent="0.35">
      <c r="A23" s="39" t="s">
        <v>45</v>
      </c>
      <c r="B23" s="34" t="s">
        <v>27</v>
      </c>
      <c r="C23" s="34" t="s">
        <v>28</v>
      </c>
      <c r="D23" s="34" t="s">
        <v>29</v>
      </c>
      <c r="E23" s="34" t="s">
        <v>30</v>
      </c>
      <c r="F23" s="34" t="s">
        <v>31</v>
      </c>
      <c r="G23" s="34" t="s">
        <v>32</v>
      </c>
      <c r="H23" s="34" t="s">
        <v>33</v>
      </c>
      <c r="I23" s="34" t="s">
        <v>34</v>
      </c>
      <c r="J23" s="34" t="s">
        <v>44</v>
      </c>
      <c r="K23" s="34" t="s">
        <v>35</v>
      </c>
      <c r="L23" s="34" t="s">
        <v>36</v>
      </c>
      <c r="M23" s="34" t="s">
        <v>37</v>
      </c>
      <c r="N23" s="34" t="s">
        <v>27</v>
      </c>
      <c r="P23" s="50" t="s">
        <v>28</v>
      </c>
      <c r="Q23" s="34" t="s">
        <v>67</v>
      </c>
    </row>
    <row r="24" spans="1:17" x14ac:dyDescent="0.25">
      <c r="A24" s="40" t="s">
        <v>74</v>
      </c>
      <c r="B24" s="35">
        <f>Beregning!$J7</f>
        <v>0</v>
      </c>
      <c r="C24" s="35">
        <f>Beregning!$J8</f>
        <v>0</v>
      </c>
      <c r="D24" s="35">
        <f>Beregning!$J9</f>
        <v>0</v>
      </c>
      <c r="E24" s="35">
        <f>Beregning!$J10</f>
        <v>0</v>
      </c>
      <c r="F24" s="35">
        <f>Beregning!$J11</f>
        <v>0</v>
      </c>
      <c r="G24" s="35">
        <f>Beregning!$J12</f>
        <v>0.05</v>
      </c>
      <c r="H24" s="35">
        <f>Beregning!$J13</f>
        <v>0.25</v>
      </c>
      <c r="I24" s="35">
        <f>Beregning!$J14</f>
        <v>0.3</v>
      </c>
      <c r="J24" s="35">
        <f>Beregning!$J15</f>
        <v>0.2</v>
      </c>
      <c r="K24" s="35">
        <f>Beregning!$J16</f>
        <v>0.1</v>
      </c>
      <c r="L24" s="35">
        <f>Beregning!$J17</f>
        <v>0.08</v>
      </c>
      <c r="M24" s="35">
        <f>Beregning!$J18</f>
        <v>0.02</v>
      </c>
      <c r="N24" s="35"/>
    </row>
    <row r="25" spans="1:17" x14ac:dyDescent="0.25">
      <c r="A25" s="37" t="s">
        <v>25</v>
      </c>
      <c r="B25" s="30">
        <f>Beregning!$K7</f>
        <v>0</v>
      </c>
      <c r="C25" s="30">
        <f>Beregning!$K8</f>
        <v>0</v>
      </c>
      <c r="D25" s="30">
        <f>Beregning!$K9</f>
        <v>0</v>
      </c>
      <c r="E25" s="30">
        <f>Beregning!$K10</f>
        <v>0</v>
      </c>
      <c r="F25" s="30">
        <f>Beregning!$K11</f>
        <v>0</v>
      </c>
      <c r="G25" s="30">
        <f>Beregning!$K12</f>
        <v>0</v>
      </c>
      <c r="H25" s="30">
        <f>Beregning!$K13</f>
        <v>0</v>
      </c>
      <c r="I25" s="30">
        <f>Beregning!$K14</f>
        <v>0</v>
      </c>
      <c r="J25" s="30">
        <f>Beregning!$K15</f>
        <v>0</v>
      </c>
      <c r="K25" s="30">
        <f>Beregning!$K16</f>
        <v>0</v>
      </c>
      <c r="L25" s="30">
        <f>Beregning!$K17</f>
        <v>0</v>
      </c>
      <c r="M25" s="30">
        <f>Beregning!$K18</f>
        <v>0</v>
      </c>
      <c r="N25" s="30"/>
    </row>
    <row r="26" spans="1:17" x14ac:dyDescent="0.25">
      <c r="A26" s="37" t="s">
        <v>26</v>
      </c>
      <c r="B26" s="30">
        <f>Beregning!$L7</f>
        <v>0</v>
      </c>
      <c r="C26" s="30">
        <f>Beregning!$L8</f>
        <v>0</v>
      </c>
      <c r="D26" s="30">
        <f>Beregning!$L9</f>
        <v>0</v>
      </c>
      <c r="E26" s="30">
        <f>Beregning!$L10</f>
        <v>0</v>
      </c>
      <c r="F26" s="30">
        <f>Beregning!$L11</f>
        <v>0</v>
      </c>
      <c r="G26" s="30">
        <f>Beregning!$L12</f>
        <v>0</v>
      </c>
      <c r="H26" s="30">
        <f>Beregning!$L13</f>
        <v>0</v>
      </c>
      <c r="I26" s="30">
        <f>Beregning!$L14</f>
        <v>0.33</v>
      </c>
      <c r="J26" s="30">
        <f>Beregning!$L15</f>
        <v>0.25</v>
      </c>
      <c r="K26" s="30">
        <f>Beregning!$L16</f>
        <v>0.2</v>
      </c>
      <c r="L26" s="30">
        <f>Beregning!$L17</f>
        <v>0.1</v>
      </c>
      <c r="M26" s="30">
        <f>Beregning!$L18</f>
        <v>0.12</v>
      </c>
      <c r="N26" s="30"/>
    </row>
    <row r="27" spans="1:17" x14ac:dyDescent="0.25">
      <c r="A27" s="37" t="s">
        <v>40</v>
      </c>
      <c r="B27" s="30">
        <f>Beregning!$M7</f>
        <v>0</v>
      </c>
      <c r="C27" s="30">
        <f>Beregning!$M8</f>
        <v>0</v>
      </c>
      <c r="D27" s="30">
        <f>Beregning!$M9</f>
        <v>0</v>
      </c>
      <c r="E27" s="30">
        <f>Beregning!$M10</f>
        <v>0</v>
      </c>
      <c r="F27" s="30">
        <f>Beregning!$M11</f>
        <v>0</v>
      </c>
      <c r="G27" s="30">
        <f>Beregning!$M12</f>
        <v>0</v>
      </c>
      <c r="H27" s="30">
        <f>Beregning!$M13</f>
        <v>0</v>
      </c>
      <c r="I27" s="30">
        <f>Beregning!$M14</f>
        <v>0</v>
      </c>
      <c r="J27" s="30">
        <f>Beregning!$M15</f>
        <v>1</v>
      </c>
      <c r="K27" s="30">
        <f>Beregning!$M16</f>
        <v>0</v>
      </c>
      <c r="L27" s="30">
        <f>Beregning!$M17</f>
        <v>0</v>
      </c>
      <c r="M27" s="30">
        <f>Beregning!$M18</f>
        <v>0</v>
      </c>
      <c r="N27" s="30"/>
    </row>
    <row r="31" spans="1:17" ht="14.45" x14ac:dyDescent="0.3">
      <c r="P31">
        <f>135*9500</f>
        <v>1282500</v>
      </c>
    </row>
  </sheetData>
  <mergeCells count="3">
    <mergeCell ref="O11:P11"/>
    <mergeCell ref="Q10:Q12"/>
    <mergeCell ref="R10:R12"/>
  </mergeCells>
  <conditionalFormatting sqref="N20">
    <cfRule type="expression" dxfId="14" priority="29" stopIfTrue="1">
      <formula>RiskIsOutput</formula>
    </cfRule>
  </conditionalFormatting>
  <conditionalFormatting sqref="B17:M17">
    <cfRule type="expression" dxfId="13" priority="85" stopIfTrue="1">
      <formula>RiskIsOutput</formula>
    </cfRule>
  </conditionalFormatting>
  <conditionalFormatting sqref="B18:N18">
    <cfRule type="expression" dxfId="12" priority="89" stopIfTrue="1">
      <formula>RiskIsOutput</formula>
    </cfRule>
  </conditionalFormatting>
  <conditionalFormatting sqref="B19:N19">
    <cfRule type="expression" dxfId="11" priority="93" stopIfTrue="1">
      <formula>RiskIsOutput</formula>
    </cfRule>
  </conditionalFormatting>
  <conditionalFormatting sqref="B20:N20">
    <cfRule type="expression" dxfId="10" priority="97" stopIfTrue="1">
      <formula>RiskIsOutput</formula>
    </cfRule>
  </conditionalFormatting>
  <conditionalFormatting sqref="N17">
    <cfRule type="expression" dxfId="9" priority="201" stopIfTrue="1">
      <formula>RiskIsOutput</formula>
    </cfRule>
  </conditionalFormatting>
  <conditionalFormatting sqref="N18">
    <cfRule type="expression" dxfId="8" priority="205" stopIfTrue="1">
      <formula>RiskIsOutput</formula>
    </cfRule>
  </conditionalFormatting>
  <conditionalFormatting sqref="N19">
    <cfRule type="expression" dxfId="7" priority="209" stopIfTrue="1">
      <formula>RiskIsOutput</formula>
    </cfRule>
  </conditionalFormatting>
  <conditionalFormatting sqref="P17">
    <cfRule type="expression" dxfId="6" priority="213" stopIfTrue="1">
      <formula>RiskIsOutput</formula>
    </cfRule>
  </conditionalFormatting>
  <conditionalFormatting sqref="A17">
    <cfRule type="expression" dxfId="5" priority="211" stopIfTrue="1">
      <formula>IF(RiskSelectedNameCell1=CELL("address",$A$17),TRUE)</formula>
    </cfRule>
  </conditionalFormatting>
  <conditionalFormatting sqref="P18">
    <cfRule type="expression" dxfId="4" priority="217" stopIfTrue="1">
      <formula>RiskIsOutput</formula>
    </cfRule>
  </conditionalFormatting>
  <conditionalFormatting sqref="P19">
    <cfRule type="expression" dxfId="3" priority="221" stopIfTrue="1">
      <formula>RiskIsOutput</formula>
    </cfRule>
  </conditionalFormatting>
  <conditionalFormatting sqref="P20">
    <cfRule type="expression" dxfId="2" priority="225" stopIfTrue="1">
      <formula>RiskIsOutput</formula>
    </cfRule>
  </conditionalFormatting>
  <conditionalFormatting sqref="Q20">
    <cfRule type="expression" dxfId="1" priority="229" stopIfTrue="1">
      <formula>RiskIsOutput</formula>
    </cfRule>
  </conditionalFormatting>
  <conditionalFormatting sqref="J33">
    <cfRule type="expression" dxfId="0" priority="230" stopIfTrue="1">
      <formula>RiskIsStatistics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Revisionsdato xmlns="5aa14257-579e-4a1f-bbbb-3c8dd7393476">2017-04-04T11:23:00+00:00</Revisionsdato>
    <Noegleord xmlns="5aa14257-579e-4a1f-bbbb-3c8dd7393476" xsi:nil="true"/>
    <DynamicPublishingContent14 xmlns="http://schemas.microsoft.com/sharepoint/v3" xsi:nil="true"/>
    <PublishingRollupImage xmlns="http://schemas.microsoft.com/sharepoint/v3" xsi:nil="true"/>
    <ArticleStartDate xmlns="http://schemas.microsoft.com/sharepoint/v3">2017-07-31T22:00:00+00:00</ArticleStartDate>
    <DynamicPublishingContent6 xmlns="http://schemas.microsoft.com/sharepoint/v3" xsi:nil="true"/>
    <Kontaktpersoner xmlns="5aa14257-579e-4a1f-bbbb-3c8dd7393476">
      <UserInfo>
        <DisplayName/>
        <AccountId xsi:nil="true"/>
        <AccountType/>
      </UserInfo>
    </Kontaktpersoner>
    <DynamicPublishingContent1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StartDate xmlns="http://schemas.microsoft.com/sharepoint/v3" xsi:nil="true"/>
    <DynamicPublishingContent9 xmlns="http://schemas.microsoft.com/sharepoint/v3" xsi:nil="true"/>
    <_dlc_DocId xmlns="303eeafb-7dff-46db-9396-e9c651f530ea">LBINFO-1539357876-1426</_dlc_DocId>
    <PublishingVariationRelationshipLinkFieldID xmlns="http://schemas.microsoft.com/sharepoint/v3">
      <Url xsi:nil="true"/>
      <Description xsi:nil="true"/>
    </PublishingVariationRelationshipLinkFieldID>
    <TaxCatchAll xmlns="303eeafb-7dff-46db-9396-e9c651f530ea"/>
    <DynamicPublishingContent4 xmlns="http://schemas.microsoft.com/sharepoint/v3" xsi:nil="true"/>
    <Listekode xmlns="5aa14257-579e-4a1f-bbbb-3c8dd7393476" xsi:nil="true"/>
    <HeaderStyleDefinitions xmlns="http://schemas.microsoft.com/sharepoint/v3" xsi:nil="true"/>
    <Skribenter xmlns="5aa14257-579e-4a1f-bbbb-3c8dd7393476">
      <UserInfo>
        <DisplayName/>
        <AccountId xsi:nil="true"/>
        <AccountType/>
      </UserInfo>
    </Skribenter>
    <Informationsserie xmlns="5aa14257-579e-4a1f-bbbb-3c8dd7393476" xsi:nil="true"/>
    <DynamicPublishingContent10 xmlns="http://schemas.microsoft.com/sharepoint/v3" xsi:nil="true"/>
    <Audience xmlns="http://schemas.microsoft.com/sharepoint/v3" xsi:nil="true"/>
    <DynamicPublishingContent7 xmlns="http://schemas.microsoft.com/sharepoint/v3" xsi:nil="true"/>
    <PublishingImageCaption xmlns="http://schemas.microsoft.com/sharepoint/v3" xsi:nil="true"/>
    <DynamicPublishingContent2 xmlns="http://schemas.microsoft.com/sharepoint/v3" xsi:nil="true"/>
    <DynamicPublishingContent13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DynamicPublishingContent5 xmlns="http://schemas.microsoft.com/sharepoint/v3" xsi:nil="true"/>
    <PublishingVariationGroupID xmlns="http://schemas.microsoft.com/sharepoint/v3" xsi:nil="true"/>
    <DynamicPublishingContent0 xmlns="http://schemas.microsoft.com/sharepoint/v3" xsi:nil="true"/>
    <DynamicPublishingContent11 xmlns="http://schemas.microsoft.com/sharepoint/v3" xsi:nil="true"/>
    <PublishingContactName xmlns="http://schemas.microsoft.com/sharepoint/v3" xsi:nil="true"/>
    <_dlc_DocIdUrl xmlns="303eeafb-7dff-46db-9396-e9c651f530ea">
      <Url>https://sp.landbrugsinfo.dk/Afrapportering/innovation/2017/_layouts/DocIdRedir.aspx?ID=LBINFO-1539357876-1426</Url>
      <Description>LBINFO-1539357876-1426</Description>
    </_dlc_DocIdUrl>
    <Comments xmlns="http://schemas.microsoft.com/sharepoint/v3">Beregning af den rigtige størrelse på grovfoderlageret uden risikosimulering.</Comments>
    <Nummer xmlns="5aa14257-579e-4a1f-bbbb-3c8dd7393476" xsi:nil="true"/>
    <DynamicPublishingContent8 xmlns="http://schemas.microsoft.com/sharepoint/v3" xsi:nil="true"/>
    <PublishingPageContent xmlns="http://schemas.microsoft.com/sharepoint/v3" xsi:nil="true"/>
    <DynamicPublishingContent3 xmlns="http://schemas.microsoft.com/sharepoint/v3" xsi:nil="true"/>
    <Sorteringsorden xmlns="5aa14257-579e-4a1f-bbbb-3c8dd7393476" xsi:nil="true"/>
    <ArticleByLine xmlns="http://schemas.microsoft.com/sharepoint/v3" xsi:nil="true"/>
    <Bekraeftelsesdato xmlns="5aa14257-579e-4a1f-bbbb-3c8dd7393476">2017-04-04T11:23:00+00:00</Bekraeftelsesdato>
    <PublishingContactEmail xmlns="http://schemas.microsoft.com/sharepoint/v3" xsi:nil="true"/>
    <DynamicPublishingContent12 xmlns="http://schemas.microsoft.com/sharepoint/v3" xsi:nil="true"/>
    <Forfattere xmlns="5aa14257-579e-4a1f-bbbb-3c8dd7393476">
      <UserInfo>
        <DisplayName>i:0e.t|dlbr idp|001ovl@prod.dli</DisplayName>
        <AccountId>31418</AccountId>
        <AccountType/>
      </UserInfo>
    </Forfattere>
    <PublishingPageImage xmlns="http://schemas.microsoft.com/sharepoint/v3" xsi:nil="true"/>
    <PermalinkID xmlns="fc0fdba4-151c-4e55-9dcc-4c0be9bb72c9">b9f8f0fe-ab71-4bd3-b361-f7cbfe1826c3</PermalinkID>
    <TaksonomiTaxHTField0 xmlns="fc0fdba4-151c-4e55-9dcc-4c0be9bb72c9">
      <Terms xmlns="http://schemas.microsoft.com/office/infopath/2007/PartnerControls"/>
    </TaksonomiTaxHTField0>
    <Afrapportering xmlns="fc0fdba4-151c-4e55-9dcc-4c0be9bb72c9">252;#Økonomi-, ressource- og risikostyring</Afrapportering>
    <WebInfoMultiSelect xmlns="fc0fdba4-151c-4e55-9dcc-4c0be9bb72c9" xsi:nil="true"/>
    <FinanceYear xmlns="fc0fdba4-151c-4e55-9dcc-4c0be9bb72c9" xsi:nil="true"/>
    <EnclosureFor xmlns="fc0fdba4-151c-4e55-9dcc-4c0be9bb72c9">
      <Url xsi:nil="true"/>
      <Description xsi:nil="true"/>
    </EnclosureFor>
    <Ansvarligafdeling xmlns="fc0fdba4-151c-4e55-9dcc-4c0be9bb72c9">38</Ansvarligafdeling>
    <ProjectID xmlns="fc0fdba4-151c-4e55-9dcc-4c0be9bb72c9">X252X</ProjectID>
    <WebInfoSubjects xmlns="fc0fdba4-151c-4e55-9dcc-4c0be9bb72c9" xsi:nil="true"/>
    <Bevillingsgivere xmlns="fc0fdba4-151c-4e55-9dcc-4c0be9bb72c9" xsi:nil="true"/>
    <NetSkabelonValue xmlns="fc0fdba4-151c-4e55-9dcc-4c0be9bb72c9" xsi:nil="true"/>
    <GammelURL xmlns="fc0fdba4-151c-4e55-9dcc-4c0be9bb72c9" xsi:nil="true"/>
    <WebInfoLawCodes xmlns="fc0fdba4-151c-4e55-9dcc-4c0be9bb72c9" xsi:nil="true"/>
    <Arkiveringsdato xmlns="fc0fdba4-151c-4e55-9dcc-4c0be9bb72c9">2099-12-31T23:00:00+00:00</Arkiveringsdato>
    <Ingen_x0020_besked_x0020_ved_x0020_arkivering xmlns="fc0fdba4-151c-4e55-9dcc-4c0be9bb72c9">false</Ingen_x0020_besked_x0020_ved_x0020_arkivering>
    <Rettighedsgruppe xmlns="fc0fdba4-151c-4e55-9dcc-4c0be9bb72c9">1</Rettighedsgruppe>
    <Afsender xmlns="fc0fdba4-151c-4e55-9dcc-4c0be9bb72c9">2</Afsender>
    <Projekter xmlns="fc0fdba4-151c-4e55-9dcc-4c0be9bb72c9" xsi:nil="true"/>
    <HideInRollups xmlns="fc0fdba4-151c-4e55-9dcc-4c0be9bb72c9">false</HideInRollups>
    <HitCount xmlns="fc0fdba4-151c-4e55-9dcc-4c0be9bb72c9">0</HitCount>
    <IsHiddenFromRollup xmlns="fc0fdba4-151c-4e55-9dcc-4c0be9bb72c9">0</IsHiddenFromRollup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C08B0B6DC7CD174ABE54AD11FA567CFF" ma:contentTypeVersion="97" ma:contentTypeDescription="Contenttype til binære filer der bliver publiceret på Landbrugsinfo" ma:contentTypeScope="" ma:versionID="4318353a3d272137596202fa281f41f3">
  <xsd:schema xmlns:xsd="http://www.w3.org/2001/XMLSchema" xmlns:xs="http://www.w3.org/2001/XMLSchema" xmlns:p="http://schemas.microsoft.com/office/2006/metadata/properties" xmlns:ns1="http://schemas.microsoft.com/sharepoint/v3" xmlns:ns2="fc0fdba4-151c-4e55-9dcc-4c0be9bb72c9" xmlns:ns3="5aa14257-579e-4a1f-bbbb-3c8dd7393476" xmlns:ns4="303eeafb-7dff-46db-9396-e9c651f530ea" targetNamespace="http://schemas.microsoft.com/office/2006/metadata/properties" ma:root="true" ma:fieldsID="0dfd5e4152482c42fad8999378eaac3a" ns1:_="" ns2:_="" ns3:_="" ns4:_="">
    <xsd:import namespace="http://schemas.microsoft.com/sharepoint/v3"/>
    <xsd:import namespace="fc0fdba4-151c-4e55-9dcc-4c0be9bb72c9"/>
    <xsd:import namespace="5aa14257-579e-4a1f-bbbb-3c8dd7393476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2:Afrapportering" minOccurs="0"/>
                <xsd:element ref="ns3:Kontaktpersoner" minOccurs="0"/>
                <xsd:element ref="ns3:Skribenter" minOccurs="0"/>
                <xsd:element ref="ns2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fdba4-151c-4e55-9dcc-4c0be9bb72c9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303eeafb-7dff-46db-9396-e9c651f530ea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  <xsd:element name="Afrapportering" ma:index="75" nillable="true" ma:displayName="Afrapportering" ma:list="{126d356a-4f5c-4bbb-91a6-e07af1934e19}" ma:internalName="Afrapportering" ma:showField="LinkTitleNoMenu" ma:web="303eeafb-7dff-46db-9396-e9c651f530ea">
      <xsd:simpleType>
        <xsd:restriction base="dms:Unknown"/>
      </xsd:simpleType>
    </xsd:element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Props1.xml><?xml version="1.0" encoding="utf-8"?>
<ds:datastoreItem xmlns:ds="http://schemas.openxmlformats.org/officeDocument/2006/customXml" ds:itemID="{BAEF67D6-ADAC-47E4-A6C9-83DD6947224A}"/>
</file>

<file path=customXml/itemProps2.xml><?xml version="1.0" encoding="utf-8"?>
<ds:datastoreItem xmlns:ds="http://schemas.openxmlformats.org/officeDocument/2006/customXml" ds:itemID="{A8155D51-09FD-4D98-B160-A63C0ACAC306}"/>
</file>

<file path=customXml/itemProps3.xml><?xml version="1.0" encoding="utf-8"?>
<ds:datastoreItem xmlns:ds="http://schemas.openxmlformats.org/officeDocument/2006/customXml" ds:itemID="{B970772E-72AE-4F94-AB78-5C962F8769A8}"/>
</file>

<file path=customXml/itemProps4.xml><?xml version="1.0" encoding="utf-8"?>
<ds:datastoreItem xmlns:ds="http://schemas.openxmlformats.org/officeDocument/2006/customXml" ds:itemID="{9FCE555B-4F26-459E-8449-55BF2EC0DA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RiskSerializationData</vt:lpstr>
      <vt:lpstr>Beregning</vt:lpstr>
      <vt:lpstr>Månedsfordeling</vt:lpstr>
    </vt:vector>
  </TitlesOfParts>
  <Company>LF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4 Den rigtige størrelse på grovfoderlageret</dc:title>
  <dc:creator>Ove Lund</dc:creator>
  <cp:lastModifiedBy>Birthe Stougaard Schøtt</cp:lastModifiedBy>
  <cp:lastPrinted>2017-01-05T10:54:29Z</cp:lastPrinted>
  <dcterms:created xsi:type="dcterms:W3CDTF">2015-02-24T13:53:46Z</dcterms:created>
  <dcterms:modified xsi:type="dcterms:W3CDTF">2017-08-01T13:47:39Z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0x010100C568DB52D9D0A14D9B2FDCC96666E9F2007948130EC3DB064584E219954237AF3900242457EFB8B24247815D688C526CD44D00C26A9DBCB02B5C4DA1F017B836C045C00060750ADE2E6249BABB5C6118FC133DE800AF2E6DC7107240CAAE62CB7A7C0C310000C08B0B6DC7CD174ABE54AD11FA567CFF</vt:lpwstr>
  </property>
  <property fmtid="{D5CDD505-2E9C-101B-9397-08002B2CF9AE}" pid="3" name="_dlc_DocIdItemGuid">
    <vt:lpwstr>5acdb783-117f-4904-802f-d5bdd54848a6</vt:lpwstr>
  </property>
  <property fmtid="{D5CDD505-2E9C-101B-9397-08002B2CF9AE}" pid="4" name="Taksonomi">
    <vt:lpwstr/>
  </property>
</Properties>
</file>